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Area" localSheetId="0">'Sheet1'!$A$1:$L$128</definedName>
  </definedNames>
  <calcPr fullCalcOnLoad="1"/>
</workbook>
</file>

<file path=xl/sharedStrings.xml><?xml version="1.0" encoding="utf-8"?>
<sst xmlns="http://schemas.openxmlformats.org/spreadsheetml/2006/main" count="60" uniqueCount="48">
  <si>
    <t>Year</t>
  </si>
  <si>
    <t>Age</t>
  </si>
  <si>
    <t>Annual</t>
  </si>
  <si>
    <t>Monthly</t>
  </si>
  <si>
    <t xml:space="preserve">Actual Annuity (With Survivor Benefit) for Year </t>
  </si>
  <si>
    <t>PROJECTED CSRS ANNUITY CALCULATOR</t>
  </si>
  <si>
    <t>My Age at the beginning of</t>
  </si>
  <si>
    <t xml:space="preserve">is </t>
  </si>
  <si>
    <t>Projected Annuity with Survivor Benefit Would Be</t>
  </si>
  <si>
    <t>FJC999@AOL.COM</t>
  </si>
  <si>
    <t xml:space="preserve">Estimated Average Future COLA (see Notes Below) is </t>
  </si>
  <si>
    <t>percent</t>
  </si>
  <si>
    <t>Projected Annuity Without Survivor Benefit Would Have  Beeen</t>
  </si>
  <si>
    <t>Projected Survivor Annuity Would Be</t>
  </si>
  <si>
    <r>
      <t xml:space="preserve">Welcome to the </t>
    </r>
    <r>
      <rPr>
        <b/>
        <sz val="12"/>
        <rFont val="Arial"/>
        <family val="2"/>
      </rPr>
      <t>"</t>
    </r>
    <r>
      <rPr>
        <b/>
        <u val="single"/>
        <sz val="12"/>
        <rFont val="Arial"/>
        <family val="2"/>
      </rPr>
      <t>Projected CSRS Annuity Calculator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.  This Spreadsheet will estimate your </t>
    </r>
  </si>
  <si>
    <r>
      <t xml:space="preserve">you select as an </t>
    </r>
    <r>
      <rPr>
        <u val="single"/>
        <sz val="12"/>
        <rFont val="Arial"/>
        <family val="2"/>
      </rPr>
      <t>estimated average future COLA</t>
    </r>
    <r>
      <rPr>
        <sz val="12"/>
        <rFont val="Arial"/>
        <family val="2"/>
      </rPr>
      <t>.  You can base your estimate for the future average</t>
    </r>
  </si>
  <si>
    <r>
      <t>who have elected a '</t>
    </r>
    <r>
      <rPr>
        <u val="single"/>
        <sz val="12"/>
        <rFont val="Arial"/>
        <family val="2"/>
      </rPr>
      <t>Survivor Benefit</t>
    </r>
    <r>
      <rPr>
        <sz val="12"/>
        <rFont val="Arial"/>
        <family val="2"/>
      </rPr>
      <t>'.  The Calculator will also tell you what your Annuity would have</t>
    </r>
  </si>
  <si>
    <t>http://www.ssa.gov/cola/automatic-cola.htm</t>
  </si>
  <si>
    <t>Note:  Source for Historical COLA data is the official U.S. Social Security Website</t>
  </si>
  <si>
    <t>If you have any questions or suggestions you can contact me at:</t>
  </si>
  <si>
    <t xml:space="preserve">been had you not selected the Survivor Benefit.  This could come in handy should your Spouse </t>
  </si>
  <si>
    <t xml:space="preserve">Benefit'.  The Spreadsheet will also tell you what your spouse's 'Projected Survivor Annuity' will be </t>
  </si>
  <si>
    <t>should you precede your Spouse in death.  This is important since your Spouse's Survivor Annuity is</t>
  </si>
  <si>
    <t>on that can get a little tricky, but don't worry, I've done it for you.  All you need to do is enter the</t>
  </si>
  <si>
    <t>appropriate values in the four highlighted cells below.  The spreadsheet will do the rest for you.  I have</t>
  </si>
  <si>
    <r>
      <t xml:space="preserve">own, the password is </t>
    </r>
    <r>
      <rPr>
        <u val="single"/>
        <sz val="12"/>
        <rFont val="Arial"/>
        <family val="2"/>
      </rPr>
      <t>becareful</t>
    </r>
    <r>
      <rPr>
        <sz val="12"/>
        <rFont val="Arial"/>
        <family val="2"/>
      </rPr>
      <t xml:space="preserve">.  I hope that you find this Calculator to be useful. </t>
    </r>
  </si>
  <si>
    <t>formulas are not inadvertently altered.  If you would like to fool around with the Spreadsheet on your</t>
  </si>
  <si>
    <t>locked' the entire Spreadsheet except for the 4 highlighted entry cells.  This is to ensure that important</t>
  </si>
  <si>
    <t>Actual Historical COLAs</t>
  </si>
  <si>
    <t>COLA %</t>
  </si>
  <si>
    <t>For additional information on retirement planning and benefits for federal employees and annuitants</t>
  </si>
  <si>
    <t xml:space="preserve">visit:  </t>
  </si>
  <si>
    <t>www.federalretirement.net.</t>
  </si>
  <si>
    <t>Annuitant.  I know little or nothing about FERS retirement.)</t>
  </si>
  <si>
    <t xml:space="preserve">COLA on actual historical COLA averages (shown below the Spreadsheet) … or you can take a </t>
  </si>
  <si>
    <r>
      <t xml:space="preserve">precede you in death, since your Annuity would then </t>
    </r>
    <r>
      <rPr>
        <u val="single"/>
        <sz val="12"/>
        <rFont val="Arial"/>
        <family val="2"/>
      </rPr>
      <t>revert back</t>
    </r>
    <r>
      <rPr>
        <sz val="12"/>
        <rFont val="Arial"/>
        <family val="2"/>
      </rPr>
      <t xml:space="preserve"> to an 'Annuity Without a Survivor </t>
    </r>
  </si>
  <si>
    <r>
      <t xml:space="preserve">future Retirement Annuity for 40 years, based upon what your </t>
    </r>
    <r>
      <rPr>
        <u val="single"/>
        <sz val="12"/>
        <rFont val="Arial"/>
        <family val="2"/>
      </rPr>
      <t>current actual Annuity</t>
    </r>
    <r>
      <rPr>
        <sz val="12"/>
        <rFont val="Arial"/>
        <family val="2"/>
      </rPr>
      <t xml:space="preserve"> is and a value</t>
    </r>
  </si>
  <si>
    <t>(Version 1.7 -- November 1, 2020)</t>
  </si>
  <si>
    <t>Updated to include January 2021 COLA</t>
  </si>
  <si>
    <r>
      <t xml:space="preserve">gut based </t>
    </r>
    <r>
      <rPr>
        <b/>
        <u val="single"/>
        <sz val="12"/>
        <rFont val="Arial"/>
        <family val="2"/>
      </rPr>
      <t>W</t>
    </r>
    <r>
      <rPr>
        <sz val="12"/>
        <rFont val="Arial"/>
        <family val="2"/>
      </rPr>
      <t xml:space="preserve">ild </t>
    </r>
    <r>
      <rPr>
        <b/>
        <u val="single"/>
        <sz val="12"/>
        <rFont val="Arial"/>
        <family val="2"/>
      </rPr>
      <t>A</t>
    </r>
    <r>
      <rPr>
        <sz val="12"/>
        <rFont val="Arial"/>
        <family val="2"/>
      </rPr>
      <t xml:space="preserve">ss </t>
    </r>
    <r>
      <rPr>
        <b/>
        <u val="single"/>
        <sz val="12"/>
        <rFont val="Arial"/>
        <family val="2"/>
      </rPr>
      <t>G</t>
    </r>
    <r>
      <rPr>
        <sz val="12"/>
        <rFont val="Arial"/>
        <family val="2"/>
      </rPr>
      <t xml:space="preserve">uess.  This Calculator is for the use of those retired </t>
    </r>
    <r>
      <rPr>
        <b/>
        <u val="single"/>
        <sz val="12"/>
        <rFont val="Arial"/>
        <family val="2"/>
      </rPr>
      <t>CSRS</t>
    </r>
    <r>
      <rPr>
        <sz val="12"/>
        <rFont val="Arial"/>
        <family val="2"/>
      </rPr>
      <t xml:space="preserve"> employees</t>
    </r>
  </si>
  <si>
    <r>
      <t xml:space="preserve">based upon what your Annuity would have been had you </t>
    </r>
    <r>
      <rPr>
        <u val="single"/>
        <sz val="12"/>
        <rFont val="Arial"/>
        <family val="2"/>
      </rPr>
      <t>not selected</t>
    </r>
    <r>
      <rPr>
        <sz val="12"/>
        <rFont val="Arial"/>
        <family val="2"/>
      </rPr>
      <t xml:space="preserve"> the Survivor Benefit.  The math</t>
    </r>
  </si>
  <si>
    <t xml:space="preserve">(Please keep in mind that my knowledge and research for this spreadsheet were based upon the fact that I am a CSRS </t>
  </si>
  <si>
    <t xml:space="preserve">46 Year Average COLA (1975 - 2021) is </t>
  </si>
  <si>
    <t xml:space="preserve">10 Year Average COLA (2012 - 2021) is </t>
  </si>
  <si>
    <t xml:space="preserve">5 Year Average COLA (2017 - 2021) is </t>
  </si>
  <si>
    <t xml:space="preserve">3 Year Average COLA (2019 - 2021) is </t>
  </si>
  <si>
    <t xml:space="preserve">2 Year Average COLA (2020 - 2021) is </t>
  </si>
  <si>
    <t>TBD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</si>
</sst>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0.0%"/>
    <numFmt numFmtId="172" formatCode="&quot;$&quot;#,##0"/>
  </numFmts>
  <fonts count="18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Verdana"/>
      <family val="2"/>
    </font>
    <font>
      <u val="single"/>
      <sz val="12"/>
      <color indexed="12"/>
      <name val="Arial"/>
      <family val="0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" borderId="5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8" xfId="0" applyFont="1" applyFill="1" applyBorder="1" applyAlignment="1" applyProtection="1" quotePrefix="1">
      <alignment horizontal="left"/>
      <protection/>
    </xf>
    <xf numFmtId="0" fontId="11" fillId="0" borderId="8" xfId="20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8" xfId="20" applyFont="1" applyFill="1" applyBorder="1" applyAlignment="1" applyProtection="1">
      <alignment horizontal="left"/>
      <protection/>
    </xf>
    <xf numFmtId="0" fontId="11" fillId="0" borderId="0" xfId="20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165" fontId="2" fillId="0" borderId="6" xfId="0" applyNumberFormat="1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0" fontId="3" fillId="4" borderId="15" xfId="0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164" fontId="0" fillId="3" borderId="1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164" fontId="0" fillId="3" borderId="17" xfId="0" applyNumberFormat="1" applyFill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9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8" xfId="0" applyFont="1" applyFill="1" applyBorder="1" applyAlignment="1" applyProtection="1">
      <alignment horizontal="center" wrapText="1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0" fontId="11" fillId="0" borderId="0" xfId="20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left"/>
      <protection/>
    </xf>
    <xf numFmtId="172" fontId="8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1" fillId="0" borderId="0" xfId="20" applyAlignment="1">
      <alignment/>
    </xf>
    <xf numFmtId="0" fontId="16" fillId="0" borderId="0" xfId="20" applyFont="1" applyAlignment="1">
      <alignment/>
    </xf>
    <xf numFmtId="0" fontId="17" fillId="0" borderId="8" xfId="0" applyFont="1" applyBorder="1" applyAlignment="1">
      <alignment/>
    </xf>
    <xf numFmtId="165" fontId="0" fillId="0" borderId="19" xfId="0" applyNumberFormat="1" applyFont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8" xfId="20" applyFont="1" applyFill="1" applyBorder="1" applyAlignment="1" applyProtection="1">
      <alignment horizontal="left"/>
      <protection/>
    </xf>
    <xf numFmtId="0" fontId="0" fillId="0" borderId="5" xfId="20" applyFont="1" applyFill="1" applyBorder="1" applyAlignment="1" applyProtection="1">
      <alignment horizontal="left"/>
      <protection/>
    </xf>
    <xf numFmtId="0" fontId="0" fillId="0" borderId="1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 horizontal="right"/>
      <protection/>
    </xf>
    <xf numFmtId="0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 wrapText="1"/>
      <protection/>
    </xf>
    <xf numFmtId="0" fontId="2" fillId="3" borderId="21" xfId="0" applyFont="1" applyFill="1" applyBorder="1" applyAlignment="1" applyProtection="1">
      <alignment horizontal="center" wrapText="1"/>
      <protection/>
    </xf>
    <xf numFmtId="0" fontId="3" fillId="4" borderId="12" xfId="0" applyFont="1" applyFill="1" applyBorder="1" applyAlignment="1" applyProtection="1">
      <alignment horizontal="center" wrapText="1"/>
      <protection/>
    </xf>
    <xf numFmtId="0" fontId="3" fillId="4" borderId="22" xfId="0" applyFont="1" applyFill="1" applyBorder="1" applyAlignment="1" applyProtection="1">
      <alignment horizontal="center" wrapText="1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0" borderId="22" xfId="0" applyBorder="1" applyAlignment="1" applyProtection="1">
      <alignment horizontal="center" wrapText="1"/>
      <protection/>
    </xf>
    <xf numFmtId="0" fontId="3" fillId="4" borderId="21" xfId="0" applyFont="1" applyFill="1" applyBorder="1" applyAlignment="1" applyProtection="1">
      <alignment horizontal="center" wrapText="1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14" fillId="3" borderId="8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14" fillId="3" borderId="9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cola/automatic-cola.htm" TargetMode="External" /><Relationship Id="rId2" Type="http://schemas.openxmlformats.org/officeDocument/2006/relationships/hyperlink" Target="mailto:FJC999@AOL.COM" TargetMode="External" /><Relationship Id="rId3" Type="http://schemas.openxmlformats.org/officeDocument/2006/relationships/hyperlink" Target="http://www.federalretirement.net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3"/>
  <sheetViews>
    <sheetView showGridLines="0" tabSelected="1" workbookViewId="0" topLeftCell="A1">
      <selection activeCell="P12" sqref="P12"/>
    </sheetView>
  </sheetViews>
  <sheetFormatPr defaultColWidth="9.140625" defaultRowHeight="12.75"/>
  <cols>
    <col min="1" max="1" width="1.7109375" style="7" customWidth="1"/>
    <col min="2" max="3" width="9.140625" style="7" customWidth="1"/>
    <col min="4" max="4" width="2.421875" style="7" customWidth="1"/>
    <col min="5" max="5" width="13.7109375" style="7" customWidth="1"/>
    <col min="6" max="6" width="11.140625" style="7" customWidth="1"/>
    <col min="7" max="7" width="2.421875" style="7" customWidth="1"/>
    <col min="8" max="8" width="11.28125" style="7" customWidth="1"/>
    <col min="9" max="9" width="13.140625" style="7" customWidth="1"/>
    <col min="10" max="10" width="2.421875" style="7" customWidth="1"/>
    <col min="11" max="11" width="14.140625" style="7" customWidth="1"/>
    <col min="12" max="12" width="11.421875" style="7" customWidth="1"/>
    <col min="13" max="13" width="12.140625" style="6" customWidth="1"/>
    <col min="14" max="16384" width="9.140625" style="7" customWidth="1"/>
  </cols>
  <sheetData>
    <row r="1" spans="2:12" ht="12.75"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5.75">
      <c r="B2" s="142" t="s">
        <v>5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147" t="s">
        <v>37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2:12" ht="12.75">
      <c r="B4" s="150" t="s">
        <v>38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</row>
    <row r="5" spans="2:12" ht="16.5" thickBot="1">
      <c r="B5" s="8"/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6.5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5.75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5.75">
      <c r="B8" s="16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2:12" ht="15">
      <c r="B9" s="16" t="s">
        <v>36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2:12" ht="15">
      <c r="B10" s="16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2:12" ht="15">
      <c r="B11" s="16" t="s">
        <v>34</v>
      </c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2:12" ht="15.75">
      <c r="B12" s="16" t="s">
        <v>39</v>
      </c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2:12" ht="15">
      <c r="B13" s="16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2:12" ht="15">
      <c r="B14" s="16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2:12" ht="15">
      <c r="B15" s="16" t="s">
        <v>35</v>
      </c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2:19" ht="15">
      <c r="B16" s="16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  <c r="S16" s="21"/>
    </row>
    <row r="17" spans="2:12" ht="15">
      <c r="B17" s="16" t="s">
        <v>22</v>
      </c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2:12" ht="15">
      <c r="B18" s="16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2:12" ht="15">
      <c r="B19" s="16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2:12" ht="15">
      <c r="B20" s="16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2:12" ht="15">
      <c r="B21" s="22" t="s">
        <v>27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2:12" ht="15">
      <c r="B22" s="16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2:12" ht="15">
      <c r="B23" s="16" t="s">
        <v>25</v>
      </c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2:12" ht="15"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20"/>
    </row>
    <row r="25" spans="2:12" ht="15">
      <c r="B25" s="125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2:12" ht="15">
      <c r="B26" s="16" t="s">
        <v>31</v>
      </c>
      <c r="C26" s="124" t="s">
        <v>32</v>
      </c>
      <c r="D26" s="19"/>
      <c r="E26" s="19"/>
      <c r="F26" s="19"/>
      <c r="G26" s="19"/>
      <c r="H26" s="123"/>
      <c r="I26" s="19"/>
      <c r="J26" s="19"/>
      <c r="K26" s="19"/>
      <c r="L26" s="20"/>
    </row>
    <row r="27" spans="2:13" s="27" customFormat="1" ht="12.75">
      <c r="B27" s="23"/>
      <c r="C27" s="122"/>
      <c r="D27" s="24"/>
      <c r="E27" s="24"/>
      <c r="F27" s="24"/>
      <c r="G27" s="24"/>
      <c r="H27" s="122"/>
      <c r="I27" s="24"/>
      <c r="J27" s="24"/>
      <c r="K27" s="24"/>
      <c r="L27" s="25"/>
      <c r="M27" s="26"/>
    </row>
    <row r="28" spans="2:13" s="27" customFormat="1" ht="15">
      <c r="B28" s="28" t="s">
        <v>19</v>
      </c>
      <c r="C28" s="24"/>
      <c r="D28" s="24"/>
      <c r="E28" s="24"/>
      <c r="F28" s="24"/>
      <c r="G28" s="24"/>
      <c r="H28" s="24"/>
      <c r="I28" s="24"/>
      <c r="J28" s="24"/>
      <c r="K28" s="29" t="s">
        <v>9</v>
      </c>
      <c r="L28" s="25"/>
      <c r="M28" s="26"/>
    </row>
    <row r="29" spans="2:13" s="27" customFormat="1" ht="12.75">
      <c r="B29" s="130" t="s">
        <v>41</v>
      </c>
      <c r="C29" s="24"/>
      <c r="D29" s="24"/>
      <c r="E29" s="24"/>
      <c r="F29" s="24"/>
      <c r="G29" s="24"/>
      <c r="H29" s="24"/>
      <c r="I29" s="24"/>
      <c r="J29" s="24"/>
      <c r="K29" s="29"/>
      <c r="L29" s="25"/>
      <c r="M29" s="26"/>
    </row>
    <row r="30" spans="2:13" s="27" customFormat="1" ht="12.75">
      <c r="B30" s="130" t="s">
        <v>33</v>
      </c>
      <c r="C30" s="24"/>
      <c r="D30" s="24"/>
      <c r="E30" s="24"/>
      <c r="F30" s="24"/>
      <c r="G30" s="24"/>
      <c r="H30" s="24"/>
      <c r="I30" s="24"/>
      <c r="J30" s="24"/>
      <c r="K30" s="29"/>
      <c r="L30" s="25"/>
      <c r="M30" s="26"/>
    </row>
    <row r="31" spans="2:13" s="27" customFormat="1" ht="13.5" thickBot="1">
      <c r="B31" s="131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26"/>
    </row>
    <row r="32" ht="15.75" thickBot="1">
      <c r="B32" s="32"/>
    </row>
    <row r="33" spans="2:12" ht="1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2:12" ht="15.75">
      <c r="B34" s="36"/>
      <c r="C34" s="19"/>
      <c r="D34" s="19"/>
      <c r="E34" s="19"/>
      <c r="F34" s="19"/>
      <c r="G34" s="37" t="s">
        <v>4</v>
      </c>
      <c r="H34" s="1">
        <v>2020</v>
      </c>
      <c r="I34" s="19"/>
      <c r="J34" s="19"/>
      <c r="K34" s="19"/>
      <c r="L34" s="20"/>
    </row>
    <row r="35" spans="2:12" ht="15.75">
      <c r="B35" s="36"/>
      <c r="C35" s="19"/>
      <c r="D35" s="19"/>
      <c r="E35" s="19"/>
      <c r="F35" s="19"/>
      <c r="G35" s="37" t="s">
        <v>7</v>
      </c>
      <c r="H35" s="121">
        <v>75000</v>
      </c>
      <c r="I35" s="19"/>
      <c r="J35" s="19"/>
      <c r="K35" s="19"/>
      <c r="L35" s="20"/>
    </row>
    <row r="36" spans="2:16" ht="15.75">
      <c r="B36" s="38"/>
      <c r="C36" s="39"/>
      <c r="D36" s="39"/>
      <c r="E36" s="19"/>
      <c r="F36" s="19"/>
      <c r="G36" s="40" t="s">
        <v>10</v>
      </c>
      <c r="H36" s="2">
        <v>1.3</v>
      </c>
      <c r="I36" s="41" t="s">
        <v>11</v>
      </c>
      <c r="J36" s="39"/>
      <c r="K36" s="39"/>
      <c r="L36" s="42"/>
      <c r="N36" s="21"/>
      <c r="O36" s="21"/>
      <c r="P36" s="21"/>
    </row>
    <row r="37" spans="2:16" ht="15.75">
      <c r="B37" s="43"/>
      <c r="C37" s="44"/>
      <c r="D37" s="44"/>
      <c r="E37" s="37" t="s">
        <v>6</v>
      </c>
      <c r="F37" s="45">
        <v>2021</v>
      </c>
      <c r="G37" s="37" t="s">
        <v>7</v>
      </c>
      <c r="H37" s="1">
        <v>70</v>
      </c>
      <c r="I37" s="44"/>
      <c r="J37" s="44"/>
      <c r="K37" s="44"/>
      <c r="L37" s="46"/>
      <c r="N37" s="21"/>
      <c r="O37" s="21"/>
      <c r="P37" s="21"/>
    </row>
    <row r="38" spans="2:16" ht="13.5" thickBot="1">
      <c r="B38" s="47"/>
      <c r="C38" s="48"/>
      <c r="D38" s="49"/>
      <c r="E38" s="50"/>
      <c r="F38" s="51"/>
      <c r="G38" s="51"/>
      <c r="H38" s="52"/>
      <c r="I38" s="51"/>
      <c r="J38" s="51"/>
      <c r="K38" s="50"/>
      <c r="L38" s="53"/>
      <c r="N38" s="21"/>
      <c r="O38" s="21"/>
      <c r="P38" s="21"/>
    </row>
    <row r="39" spans="2:16" ht="12.75">
      <c r="B39" s="54"/>
      <c r="D39" s="21"/>
      <c r="E39" s="54"/>
      <c r="F39" s="55"/>
      <c r="G39" s="56"/>
      <c r="H39" s="57"/>
      <c r="I39" s="58"/>
      <c r="J39" s="58"/>
      <c r="K39" s="54"/>
      <c r="L39" s="21"/>
      <c r="N39" s="21"/>
      <c r="O39" s="21"/>
      <c r="P39" s="21"/>
    </row>
    <row r="40" spans="2:16" ht="13.5" thickBot="1">
      <c r="B40" s="54"/>
      <c r="C40" s="59"/>
      <c r="D40" s="59"/>
      <c r="E40" s="54"/>
      <c r="F40" s="54"/>
      <c r="G40" s="54"/>
      <c r="H40" s="54"/>
      <c r="I40" s="54"/>
      <c r="J40" s="54"/>
      <c r="K40" s="54"/>
      <c r="L40" s="21"/>
      <c r="N40" s="21"/>
      <c r="O40" s="21"/>
      <c r="P40" s="21"/>
    </row>
    <row r="41" spans="2:12" ht="51.75" customHeight="1">
      <c r="B41" s="60" t="s">
        <v>0</v>
      </c>
      <c r="C41" s="61" t="s">
        <v>1</v>
      </c>
      <c r="D41" s="62"/>
      <c r="E41" s="140" t="s">
        <v>8</v>
      </c>
      <c r="F41" s="141"/>
      <c r="G41" s="63"/>
      <c r="H41" s="140" t="s">
        <v>12</v>
      </c>
      <c r="I41" s="145"/>
      <c r="J41" s="63"/>
      <c r="K41" s="140" t="s">
        <v>13</v>
      </c>
      <c r="L41" s="146"/>
    </row>
    <row r="42" spans="2:12" ht="13.5" customHeight="1">
      <c r="B42" s="64"/>
      <c r="C42" s="65"/>
      <c r="D42" s="66"/>
      <c r="E42" s="67" t="s">
        <v>2</v>
      </c>
      <c r="F42" s="67" t="s">
        <v>3</v>
      </c>
      <c r="G42" s="68"/>
      <c r="H42" s="67" t="s">
        <v>2</v>
      </c>
      <c r="I42" s="67" t="s">
        <v>3</v>
      </c>
      <c r="J42" s="68"/>
      <c r="K42" s="67" t="s">
        <v>2</v>
      </c>
      <c r="L42" s="69" t="s">
        <v>3</v>
      </c>
    </row>
    <row r="43" spans="2:13" ht="12.75">
      <c r="B43" s="70">
        <v>2021</v>
      </c>
      <c r="C43" s="71">
        <f>H37+1</f>
        <v>71</v>
      </c>
      <c r="D43" s="72"/>
      <c r="E43" s="73">
        <f>H35+(H35*$H$36%)</f>
        <v>75975</v>
      </c>
      <c r="F43" s="73">
        <f>E43/12</f>
        <v>6331.25</v>
      </c>
      <c r="G43" s="74"/>
      <c r="H43" s="73">
        <f>(E43-270)/0.9</f>
        <v>84116.66666666667</v>
      </c>
      <c r="I43" s="73">
        <f>H43/12</f>
        <v>7009.722222222223</v>
      </c>
      <c r="J43" s="74"/>
      <c r="K43" s="73">
        <f aca="true" t="shared" si="0" ref="K43:K82">0.55*H43</f>
        <v>46264.16666666667</v>
      </c>
      <c r="L43" s="75">
        <f aca="true" t="shared" si="1" ref="L43:L49">K43/12</f>
        <v>3855.3472222222226</v>
      </c>
      <c r="M43" s="21"/>
    </row>
    <row r="44" spans="2:13" ht="12.75">
      <c r="B44" s="70">
        <f>B43+1</f>
        <v>2022</v>
      </c>
      <c r="C44" s="71">
        <f>C43+1</f>
        <v>72</v>
      </c>
      <c r="D44" s="72"/>
      <c r="E44" s="73">
        <f aca="true" t="shared" si="2" ref="E44:E82">E43+(E43*$H$36%)</f>
        <v>76962.675</v>
      </c>
      <c r="F44" s="73">
        <f aca="true" t="shared" si="3" ref="F44:F82">E44/12</f>
        <v>6413.556250000001</v>
      </c>
      <c r="G44" s="74"/>
      <c r="H44" s="73">
        <f aca="true" t="shared" si="4" ref="H44:H82">(E44-270)/0.9</f>
        <v>85214.08333333333</v>
      </c>
      <c r="I44" s="73">
        <f aca="true" t="shared" si="5" ref="I44:I82">H44/12</f>
        <v>7101.17361111111</v>
      </c>
      <c r="J44" s="74"/>
      <c r="K44" s="73">
        <f t="shared" si="0"/>
        <v>46867.745833333334</v>
      </c>
      <c r="L44" s="75">
        <f t="shared" si="1"/>
        <v>3905.645486111111</v>
      </c>
      <c r="M44" s="21"/>
    </row>
    <row r="45" spans="2:13" ht="12.75">
      <c r="B45" s="70">
        <f aca="true" t="shared" si="6" ref="B45:B82">B44+1</f>
        <v>2023</v>
      </c>
      <c r="C45" s="71">
        <f aca="true" t="shared" si="7" ref="C45:C82">C44+1</f>
        <v>73</v>
      </c>
      <c r="D45" s="72"/>
      <c r="E45" s="73">
        <f t="shared" si="2"/>
        <v>77963.189775</v>
      </c>
      <c r="F45" s="73">
        <f t="shared" si="3"/>
        <v>6496.932481250001</v>
      </c>
      <c r="G45" s="74"/>
      <c r="H45" s="73">
        <f t="shared" si="4"/>
        <v>86325.76641666667</v>
      </c>
      <c r="I45" s="73">
        <f t="shared" si="5"/>
        <v>7193.813868055556</v>
      </c>
      <c r="J45" s="74"/>
      <c r="K45" s="73">
        <f t="shared" si="0"/>
        <v>47479.17152916667</v>
      </c>
      <c r="L45" s="75">
        <f t="shared" si="1"/>
        <v>3956.597627430556</v>
      </c>
      <c r="M45" s="21"/>
    </row>
    <row r="46" spans="2:12" ht="12.75">
      <c r="B46" s="70">
        <f t="shared" si="6"/>
        <v>2024</v>
      </c>
      <c r="C46" s="71">
        <f t="shared" si="7"/>
        <v>74</v>
      </c>
      <c r="D46" s="72"/>
      <c r="E46" s="73">
        <f t="shared" si="2"/>
        <v>78976.711242075</v>
      </c>
      <c r="F46" s="73">
        <f t="shared" si="3"/>
        <v>6581.39260350625</v>
      </c>
      <c r="G46" s="74"/>
      <c r="H46" s="73">
        <f t="shared" si="4"/>
        <v>87451.90138008333</v>
      </c>
      <c r="I46" s="73">
        <f t="shared" si="5"/>
        <v>7287.658448340278</v>
      </c>
      <c r="J46" s="74"/>
      <c r="K46" s="73">
        <f t="shared" si="0"/>
        <v>48098.54575904584</v>
      </c>
      <c r="L46" s="75">
        <f t="shared" si="1"/>
        <v>4008.2121465871533</v>
      </c>
    </row>
    <row r="47" spans="2:12" ht="12.75">
      <c r="B47" s="70">
        <f t="shared" si="6"/>
        <v>2025</v>
      </c>
      <c r="C47" s="71">
        <f t="shared" si="7"/>
        <v>75</v>
      </c>
      <c r="D47" s="72"/>
      <c r="E47" s="73">
        <f t="shared" si="2"/>
        <v>80003.40848822198</v>
      </c>
      <c r="F47" s="73">
        <f t="shared" si="3"/>
        <v>6666.950707351832</v>
      </c>
      <c r="G47" s="74"/>
      <c r="H47" s="73">
        <f t="shared" si="4"/>
        <v>88592.67609802441</v>
      </c>
      <c r="I47" s="73">
        <f t="shared" si="5"/>
        <v>7382.723008168701</v>
      </c>
      <c r="J47" s="74"/>
      <c r="K47" s="73">
        <f t="shared" si="0"/>
        <v>48725.971853913434</v>
      </c>
      <c r="L47" s="75">
        <f t="shared" si="1"/>
        <v>4060.4976544927863</v>
      </c>
    </row>
    <row r="48" spans="2:12" ht="12.75">
      <c r="B48" s="70">
        <f t="shared" si="6"/>
        <v>2026</v>
      </c>
      <c r="C48" s="71">
        <f t="shared" si="7"/>
        <v>76</v>
      </c>
      <c r="D48" s="72"/>
      <c r="E48" s="73">
        <f t="shared" si="2"/>
        <v>81043.45279856886</v>
      </c>
      <c r="F48" s="73">
        <f t="shared" si="3"/>
        <v>6753.6210665474055</v>
      </c>
      <c r="G48" s="74"/>
      <c r="H48" s="73">
        <f t="shared" si="4"/>
        <v>89748.28088729874</v>
      </c>
      <c r="I48" s="73">
        <f t="shared" si="5"/>
        <v>7479.023407274894</v>
      </c>
      <c r="J48" s="74"/>
      <c r="K48" s="73">
        <f t="shared" si="0"/>
        <v>49361.554488014306</v>
      </c>
      <c r="L48" s="75">
        <f t="shared" si="1"/>
        <v>4113.462874001192</v>
      </c>
    </row>
    <row r="49" spans="2:12" ht="12.75">
      <c r="B49" s="70">
        <f t="shared" si="6"/>
        <v>2027</v>
      </c>
      <c r="C49" s="71">
        <f t="shared" si="7"/>
        <v>77</v>
      </c>
      <c r="D49" s="72"/>
      <c r="E49" s="73">
        <f t="shared" si="2"/>
        <v>82097.01768495026</v>
      </c>
      <c r="F49" s="73">
        <f t="shared" si="3"/>
        <v>6841.418140412522</v>
      </c>
      <c r="G49" s="74"/>
      <c r="H49" s="73">
        <f t="shared" si="4"/>
        <v>90918.90853883362</v>
      </c>
      <c r="I49" s="73">
        <f t="shared" si="5"/>
        <v>7576.575711569469</v>
      </c>
      <c r="J49" s="74"/>
      <c r="K49" s="73">
        <f t="shared" si="0"/>
        <v>50005.399696358494</v>
      </c>
      <c r="L49" s="75">
        <f t="shared" si="1"/>
        <v>4167.116641363208</v>
      </c>
    </row>
    <row r="50" spans="2:12" ht="12.75">
      <c r="B50" s="70">
        <f t="shared" si="6"/>
        <v>2028</v>
      </c>
      <c r="C50" s="71">
        <f t="shared" si="7"/>
        <v>78</v>
      </c>
      <c r="D50" s="72"/>
      <c r="E50" s="73">
        <f t="shared" si="2"/>
        <v>83164.27891485461</v>
      </c>
      <c r="F50" s="73">
        <f t="shared" si="3"/>
        <v>6930.356576237885</v>
      </c>
      <c r="G50" s="74"/>
      <c r="H50" s="73">
        <f t="shared" si="4"/>
        <v>92104.75434983846</v>
      </c>
      <c r="I50" s="73">
        <f t="shared" si="5"/>
        <v>7675.3961958198715</v>
      </c>
      <c r="J50" s="74"/>
      <c r="K50" s="73">
        <f t="shared" si="0"/>
        <v>50657.614892411155</v>
      </c>
      <c r="L50" s="75">
        <f aca="true" t="shared" si="8" ref="L50:L82">K50/12</f>
        <v>4221.46790770093</v>
      </c>
    </row>
    <row r="51" spans="2:12" ht="12.75">
      <c r="B51" s="70">
        <f>B50+1</f>
        <v>2029</v>
      </c>
      <c r="C51" s="71">
        <f>C50+1</f>
        <v>79</v>
      </c>
      <c r="D51" s="72"/>
      <c r="E51" s="73">
        <f t="shared" si="2"/>
        <v>84245.41454074772</v>
      </c>
      <c r="F51" s="73">
        <f t="shared" si="3"/>
        <v>7020.451211728977</v>
      </c>
      <c r="G51" s="74"/>
      <c r="H51" s="76">
        <f t="shared" si="4"/>
        <v>93306.01615638635</v>
      </c>
      <c r="I51" s="73">
        <f t="shared" si="5"/>
        <v>7775.50134636553</v>
      </c>
      <c r="J51" s="74"/>
      <c r="K51" s="76">
        <f t="shared" si="0"/>
        <v>51318.3088860125</v>
      </c>
      <c r="L51" s="77">
        <f t="shared" si="8"/>
        <v>4276.525740501042</v>
      </c>
    </row>
    <row r="52" spans="2:12" ht="12.75">
      <c r="B52" s="70">
        <f t="shared" si="6"/>
        <v>2030</v>
      </c>
      <c r="C52" s="71">
        <f t="shared" si="7"/>
        <v>80</v>
      </c>
      <c r="D52" s="72"/>
      <c r="E52" s="73">
        <f t="shared" si="2"/>
        <v>85340.60492977744</v>
      </c>
      <c r="F52" s="73">
        <f t="shared" si="3"/>
        <v>7111.717077481454</v>
      </c>
      <c r="G52" s="74"/>
      <c r="H52" s="76">
        <f t="shared" si="4"/>
        <v>94522.89436641938</v>
      </c>
      <c r="I52" s="73">
        <f t="shared" si="5"/>
        <v>7876.907863868281</v>
      </c>
      <c r="J52" s="74"/>
      <c r="K52" s="76">
        <f t="shared" si="0"/>
        <v>51987.591901530664</v>
      </c>
      <c r="L52" s="77">
        <f t="shared" si="8"/>
        <v>4332.299325127556</v>
      </c>
    </row>
    <row r="53" spans="2:12" ht="12.75">
      <c r="B53" s="70">
        <f t="shared" si="6"/>
        <v>2031</v>
      </c>
      <c r="C53" s="71">
        <f t="shared" si="7"/>
        <v>81</v>
      </c>
      <c r="D53" s="72"/>
      <c r="E53" s="73">
        <f t="shared" si="2"/>
        <v>86450.03279386455</v>
      </c>
      <c r="F53" s="73">
        <f t="shared" si="3"/>
        <v>7204.169399488713</v>
      </c>
      <c r="G53" s="74"/>
      <c r="H53" s="76">
        <f t="shared" si="4"/>
        <v>95755.59199318282</v>
      </c>
      <c r="I53" s="73">
        <f t="shared" si="5"/>
        <v>7979.632666098569</v>
      </c>
      <c r="J53" s="74"/>
      <c r="K53" s="76">
        <f t="shared" si="0"/>
        <v>52665.57559625056</v>
      </c>
      <c r="L53" s="77">
        <f t="shared" si="8"/>
        <v>4388.797966354213</v>
      </c>
    </row>
    <row r="54" spans="2:12" ht="12.75">
      <c r="B54" s="70">
        <f t="shared" si="6"/>
        <v>2032</v>
      </c>
      <c r="C54" s="71">
        <f t="shared" si="7"/>
        <v>82</v>
      </c>
      <c r="D54" s="72"/>
      <c r="E54" s="73">
        <f t="shared" si="2"/>
        <v>87573.88322018478</v>
      </c>
      <c r="F54" s="73">
        <f t="shared" si="3"/>
        <v>7297.823601682066</v>
      </c>
      <c r="G54" s="74"/>
      <c r="H54" s="76">
        <f t="shared" si="4"/>
        <v>97004.3146890942</v>
      </c>
      <c r="I54" s="73">
        <f t="shared" si="5"/>
        <v>8083.69289075785</v>
      </c>
      <c r="J54" s="74"/>
      <c r="K54" s="76">
        <f t="shared" si="0"/>
        <v>53352.373079001816</v>
      </c>
      <c r="L54" s="77">
        <f t="shared" si="8"/>
        <v>4446.031089916818</v>
      </c>
    </row>
    <row r="55" spans="2:12" ht="12.75">
      <c r="B55" s="70">
        <f t="shared" si="6"/>
        <v>2033</v>
      </c>
      <c r="C55" s="71">
        <f t="shared" si="7"/>
        <v>83</v>
      </c>
      <c r="D55" s="72"/>
      <c r="E55" s="73">
        <f t="shared" si="2"/>
        <v>88712.34370204719</v>
      </c>
      <c r="F55" s="73">
        <f t="shared" si="3"/>
        <v>7392.695308503932</v>
      </c>
      <c r="G55" s="74"/>
      <c r="H55" s="76">
        <f t="shared" si="4"/>
        <v>98269.27078005244</v>
      </c>
      <c r="I55" s="73">
        <f t="shared" si="5"/>
        <v>8189.105898337703</v>
      </c>
      <c r="J55" s="74"/>
      <c r="K55" s="76">
        <f t="shared" si="0"/>
        <v>54048.09892902884</v>
      </c>
      <c r="L55" s="77">
        <f t="shared" si="8"/>
        <v>4504.008244085737</v>
      </c>
    </row>
    <row r="56" spans="2:12" ht="12.75">
      <c r="B56" s="70">
        <f t="shared" si="6"/>
        <v>2034</v>
      </c>
      <c r="C56" s="71">
        <f t="shared" si="7"/>
        <v>84</v>
      </c>
      <c r="D56" s="72"/>
      <c r="E56" s="73">
        <f t="shared" si="2"/>
        <v>89865.6041701738</v>
      </c>
      <c r="F56" s="73">
        <f t="shared" si="3"/>
        <v>7488.800347514483</v>
      </c>
      <c r="G56" s="74"/>
      <c r="H56" s="76">
        <f t="shared" si="4"/>
        <v>99550.6713001931</v>
      </c>
      <c r="I56" s="73">
        <f t="shared" si="5"/>
        <v>8295.889275016092</v>
      </c>
      <c r="J56" s="74"/>
      <c r="K56" s="76">
        <f t="shared" si="0"/>
        <v>54752.86921510621</v>
      </c>
      <c r="L56" s="77">
        <f t="shared" si="8"/>
        <v>4562.739101258851</v>
      </c>
    </row>
    <row r="57" spans="2:12" ht="12.75">
      <c r="B57" s="70">
        <f t="shared" si="6"/>
        <v>2035</v>
      </c>
      <c r="C57" s="71">
        <f t="shared" si="7"/>
        <v>85</v>
      </c>
      <c r="D57" s="72"/>
      <c r="E57" s="73">
        <f t="shared" si="2"/>
        <v>91033.85702438606</v>
      </c>
      <c r="F57" s="73">
        <f t="shared" si="3"/>
        <v>7586.154752032172</v>
      </c>
      <c r="G57" s="74"/>
      <c r="H57" s="76">
        <f t="shared" si="4"/>
        <v>100848.73002709562</v>
      </c>
      <c r="I57" s="73">
        <f t="shared" si="5"/>
        <v>8404.060835591301</v>
      </c>
      <c r="J57" s="74"/>
      <c r="K57" s="76">
        <f t="shared" si="0"/>
        <v>55466.801514902596</v>
      </c>
      <c r="L57" s="77">
        <f t="shared" si="8"/>
        <v>4622.233459575216</v>
      </c>
    </row>
    <row r="58" spans="2:12" ht="12.75">
      <c r="B58" s="70">
        <f t="shared" si="6"/>
        <v>2036</v>
      </c>
      <c r="C58" s="71">
        <f t="shared" si="7"/>
        <v>86</v>
      </c>
      <c r="D58" s="72"/>
      <c r="E58" s="73">
        <f t="shared" si="2"/>
        <v>92217.29716570307</v>
      </c>
      <c r="F58" s="73">
        <f t="shared" si="3"/>
        <v>7684.774763808589</v>
      </c>
      <c r="G58" s="74"/>
      <c r="H58" s="76">
        <f t="shared" si="4"/>
        <v>102163.66351744786</v>
      </c>
      <c r="I58" s="73">
        <f t="shared" si="5"/>
        <v>8513.638626453989</v>
      </c>
      <c r="J58" s="74"/>
      <c r="K58" s="76">
        <f t="shared" si="0"/>
        <v>56190.01493459633</v>
      </c>
      <c r="L58" s="77">
        <f t="shared" si="8"/>
        <v>4682.501244549694</v>
      </c>
    </row>
    <row r="59" spans="2:12" ht="12.75">
      <c r="B59" s="70">
        <f t="shared" si="6"/>
        <v>2037</v>
      </c>
      <c r="C59" s="71">
        <f t="shared" si="7"/>
        <v>87</v>
      </c>
      <c r="D59" s="72"/>
      <c r="E59" s="73">
        <f t="shared" si="2"/>
        <v>93416.12202885721</v>
      </c>
      <c r="F59" s="73">
        <f t="shared" si="3"/>
        <v>7784.676835738101</v>
      </c>
      <c r="G59" s="74"/>
      <c r="H59" s="76">
        <f t="shared" si="4"/>
        <v>103495.69114317467</v>
      </c>
      <c r="I59" s="73">
        <f t="shared" si="5"/>
        <v>8624.64092859789</v>
      </c>
      <c r="J59" s="74"/>
      <c r="K59" s="76">
        <f t="shared" si="0"/>
        <v>56922.630128746074</v>
      </c>
      <c r="L59" s="77">
        <f t="shared" si="8"/>
        <v>4743.5525107288395</v>
      </c>
    </row>
    <row r="60" spans="2:12" ht="12.75">
      <c r="B60" s="70">
        <f t="shared" si="6"/>
        <v>2038</v>
      </c>
      <c r="C60" s="71">
        <f t="shared" si="7"/>
        <v>88</v>
      </c>
      <c r="D60" s="72"/>
      <c r="E60" s="73">
        <f t="shared" si="2"/>
        <v>94630.53161523235</v>
      </c>
      <c r="F60" s="73">
        <f t="shared" si="3"/>
        <v>7885.877634602696</v>
      </c>
      <c r="G60" s="74"/>
      <c r="H60" s="76">
        <f t="shared" si="4"/>
        <v>104845.03512803595</v>
      </c>
      <c r="I60" s="73">
        <f t="shared" si="5"/>
        <v>8737.086260669663</v>
      </c>
      <c r="J60" s="74"/>
      <c r="K60" s="76">
        <f t="shared" si="0"/>
        <v>57664.76932041978</v>
      </c>
      <c r="L60" s="77">
        <f t="shared" si="8"/>
        <v>4805.397443368315</v>
      </c>
    </row>
    <row r="61" spans="2:12" ht="12.75">
      <c r="B61" s="70">
        <f t="shared" si="6"/>
        <v>2039</v>
      </c>
      <c r="C61" s="71">
        <f t="shared" si="7"/>
        <v>89</v>
      </c>
      <c r="D61" s="72"/>
      <c r="E61" s="73">
        <f t="shared" si="2"/>
        <v>95860.72852623038</v>
      </c>
      <c r="F61" s="73">
        <f t="shared" si="3"/>
        <v>7988.3940438525315</v>
      </c>
      <c r="G61" s="74"/>
      <c r="H61" s="76">
        <f t="shared" si="4"/>
        <v>106211.92058470042</v>
      </c>
      <c r="I61" s="73">
        <f t="shared" si="5"/>
        <v>8850.993382058368</v>
      </c>
      <c r="J61" s="74"/>
      <c r="K61" s="76">
        <f t="shared" si="0"/>
        <v>58416.55632158524</v>
      </c>
      <c r="L61" s="77">
        <f t="shared" si="8"/>
        <v>4868.0463601321035</v>
      </c>
    </row>
    <row r="62" spans="2:12" ht="12.75">
      <c r="B62" s="70">
        <f t="shared" si="6"/>
        <v>2040</v>
      </c>
      <c r="C62" s="71">
        <f t="shared" si="7"/>
        <v>90</v>
      </c>
      <c r="D62" s="72"/>
      <c r="E62" s="73">
        <f t="shared" si="2"/>
        <v>97106.91799707137</v>
      </c>
      <c r="F62" s="73">
        <f t="shared" si="3"/>
        <v>8092.243166422614</v>
      </c>
      <c r="G62" s="74"/>
      <c r="H62" s="76">
        <f t="shared" si="4"/>
        <v>107596.57555230153</v>
      </c>
      <c r="I62" s="73">
        <f t="shared" si="5"/>
        <v>8966.381296025127</v>
      </c>
      <c r="J62" s="74"/>
      <c r="K62" s="76">
        <f t="shared" si="0"/>
        <v>59178.116553765845</v>
      </c>
      <c r="L62" s="77">
        <f t="shared" si="8"/>
        <v>4931.50971281382</v>
      </c>
    </row>
    <row r="63" spans="2:12" ht="12.75">
      <c r="B63" s="70">
        <f t="shared" si="6"/>
        <v>2041</v>
      </c>
      <c r="C63" s="71">
        <f t="shared" si="7"/>
        <v>91</v>
      </c>
      <c r="D63" s="72"/>
      <c r="E63" s="73">
        <f t="shared" si="2"/>
        <v>98369.3079310333</v>
      </c>
      <c r="F63" s="73">
        <f t="shared" si="3"/>
        <v>8197.442327586108</v>
      </c>
      <c r="G63" s="74"/>
      <c r="H63" s="76">
        <f t="shared" si="4"/>
        <v>108999.23103448143</v>
      </c>
      <c r="I63" s="73">
        <f t="shared" si="5"/>
        <v>9083.269252873453</v>
      </c>
      <c r="J63" s="74"/>
      <c r="K63" s="76">
        <f t="shared" si="0"/>
        <v>59949.57706896479</v>
      </c>
      <c r="L63" s="77">
        <f t="shared" si="8"/>
        <v>4995.798089080399</v>
      </c>
    </row>
    <row r="64" spans="2:12" ht="12.75">
      <c r="B64" s="70">
        <f t="shared" si="6"/>
        <v>2042</v>
      </c>
      <c r="C64" s="71">
        <f t="shared" si="7"/>
        <v>92</v>
      </c>
      <c r="D64" s="72"/>
      <c r="E64" s="73">
        <f t="shared" si="2"/>
        <v>99648.10893413673</v>
      </c>
      <c r="F64" s="73">
        <f t="shared" si="3"/>
        <v>8304.009077844728</v>
      </c>
      <c r="G64" s="74"/>
      <c r="H64" s="76">
        <f t="shared" si="4"/>
        <v>110420.1210379297</v>
      </c>
      <c r="I64" s="73">
        <f t="shared" si="5"/>
        <v>9201.676753160807</v>
      </c>
      <c r="J64" s="74"/>
      <c r="K64" s="76">
        <f t="shared" si="0"/>
        <v>60731.06657086134</v>
      </c>
      <c r="L64" s="77">
        <f t="shared" si="8"/>
        <v>5060.922214238445</v>
      </c>
    </row>
    <row r="65" spans="2:12" ht="12.75">
      <c r="B65" s="70">
        <f t="shared" si="6"/>
        <v>2043</v>
      </c>
      <c r="C65" s="71">
        <f t="shared" si="7"/>
        <v>93</v>
      </c>
      <c r="D65" s="72"/>
      <c r="E65" s="73">
        <f t="shared" si="2"/>
        <v>100943.5343502805</v>
      </c>
      <c r="F65" s="73">
        <f t="shared" si="3"/>
        <v>8411.96119585671</v>
      </c>
      <c r="G65" s="74"/>
      <c r="H65" s="76">
        <f t="shared" si="4"/>
        <v>111859.48261142278</v>
      </c>
      <c r="I65" s="73">
        <f t="shared" si="5"/>
        <v>9321.623550951897</v>
      </c>
      <c r="J65" s="74"/>
      <c r="K65" s="76">
        <f t="shared" si="0"/>
        <v>61522.71543628253</v>
      </c>
      <c r="L65" s="77">
        <f t="shared" si="8"/>
        <v>5126.892953023545</v>
      </c>
    </row>
    <row r="66" spans="2:12" ht="12.75">
      <c r="B66" s="70">
        <f t="shared" si="6"/>
        <v>2044</v>
      </c>
      <c r="C66" s="71">
        <f t="shared" si="7"/>
        <v>94</v>
      </c>
      <c r="D66" s="72"/>
      <c r="E66" s="73">
        <f t="shared" si="2"/>
        <v>102255.80029683415</v>
      </c>
      <c r="F66" s="73">
        <f t="shared" si="3"/>
        <v>8521.316691402846</v>
      </c>
      <c r="G66" s="74"/>
      <c r="H66" s="76">
        <f t="shared" si="4"/>
        <v>113317.55588537127</v>
      </c>
      <c r="I66" s="73">
        <f t="shared" si="5"/>
        <v>9443.129657114272</v>
      </c>
      <c r="J66" s="74"/>
      <c r="K66" s="76">
        <f t="shared" si="0"/>
        <v>62324.655736954206</v>
      </c>
      <c r="L66" s="77">
        <f t="shared" si="8"/>
        <v>5193.721311412851</v>
      </c>
    </row>
    <row r="67" spans="2:12" ht="12.75">
      <c r="B67" s="70">
        <f t="shared" si="6"/>
        <v>2045</v>
      </c>
      <c r="C67" s="71">
        <f t="shared" si="7"/>
        <v>95</v>
      </c>
      <c r="D67" s="72"/>
      <c r="E67" s="73">
        <f t="shared" si="2"/>
        <v>103585.125700693</v>
      </c>
      <c r="F67" s="73">
        <f t="shared" si="3"/>
        <v>8632.093808391082</v>
      </c>
      <c r="G67" s="74"/>
      <c r="H67" s="76">
        <f t="shared" si="4"/>
        <v>114794.58411188111</v>
      </c>
      <c r="I67" s="73">
        <f t="shared" si="5"/>
        <v>9566.215342656758</v>
      </c>
      <c r="J67" s="74"/>
      <c r="K67" s="76">
        <f t="shared" si="0"/>
        <v>63137.02126153462</v>
      </c>
      <c r="L67" s="77">
        <f t="shared" si="8"/>
        <v>5261.418438461218</v>
      </c>
    </row>
    <row r="68" spans="2:12" ht="12.75">
      <c r="B68" s="70">
        <f t="shared" si="6"/>
        <v>2046</v>
      </c>
      <c r="C68" s="71">
        <f t="shared" si="7"/>
        <v>96</v>
      </c>
      <c r="D68" s="72"/>
      <c r="E68" s="73">
        <f t="shared" si="2"/>
        <v>104931.732334802</v>
      </c>
      <c r="F68" s="73">
        <f t="shared" si="3"/>
        <v>8744.311027900167</v>
      </c>
      <c r="G68" s="74"/>
      <c r="H68" s="76">
        <f t="shared" si="4"/>
        <v>116290.81370533555</v>
      </c>
      <c r="I68" s="73">
        <f t="shared" si="5"/>
        <v>9690.901142111295</v>
      </c>
      <c r="J68" s="74"/>
      <c r="K68" s="76">
        <f t="shared" si="0"/>
        <v>63959.94753793455</v>
      </c>
      <c r="L68" s="77">
        <f t="shared" si="8"/>
        <v>5329.995628161213</v>
      </c>
    </row>
    <row r="69" spans="2:12" ht="12.75">
      <c r="B69" s="70">
        <f t="shared" si="6"/>
        <v>2047</v>
      </c>
      <c r="C69" s="71">
        <f t="shared" si="7"/>
        <v>97</v>
      </c>
      <c r="D69" s="72"/>
      <c r="E69" s="73">
        <f t="shared" si="2"/>
        <v>106295.84485515443</v>
      </c>
      <c r="F69" s="73">
        <f t="shared" si="3"/>
        <v>8857.987071262869</v>
      </c>
      <c r="G69" s="74"/>
      <c r="H69" s="76">
        <f t="shared" si="4"/>
        <v>117806.49428350492</v>
      </c>
      <c r="I69" s="73">
        <f t="shared" si="5"/>
        <v>9817.207856958743</v>
      </c>
      <c r="J69" s="74"/>
      <c r="K69" s="76">
        <f t="shared" si="0"/>
        <v>64793.57185592771</v>
      </c>
      <c r="L69" s="77">
        <f t="shared" si="8"/>
        <v>5399.464321327309</v>
      </c>
    </row>
    <row r="70" spans="2:12" ht="12.75">
      <c r="B70" s="70">
        <f t="shared" si="6"/>
        <v>2048</v>
      </c>
      <c r="C70" s="71">
        <f t="shared" si="7"/>
        <v>98</v>
      </c>
      <c r="D70" s="72"/>
      <c r="E70" s="73">
        <f t="shared" si="2"/>
        <v>107677.69083827143</v>
      </c>
      <c r="F70" s="73">
        <f t="shared" si="3"/>
        <v>8973.140903189285</v>
      </c>
      <c r="G70" s="74"/>
      <c r="H70" s="76">
        <f t="shared" si="4"/>
        <v>119341.87870919048</v>
      </c>
      <c r="I70" s="73">
        <f t="shared" si="5"/>
        <v>9945.156559099207</v>
      </c>
      <c r="J70" s="74"/>
      <c r="K70" s="76">
        <f t="shared" si="0"/>
        <v>65638.03329005477</v>
      </c>
      <c r="L70" s="77">
        <f t="shared" si="8"/>
        <v>5469.836107504564</v>
      </c>
    </row>
    <row r="71" spans="2:12" ht="12.75">
      <c r="B71" s="70">
        <f t="shared" si="6"/>
        <v>2049</v>
      </c>
      <c r="C71" s="71">
        <f t="shared" si="7"/>
        <v>99</v>
      </c>
      <c r="D71" s="72"/>
      <c r="E71" s="73">
        <f t="shared" si="2"/>
        <v>109077.50081916896</v>
      </c>
      <c r="F71" s="73">
        <f t="shared" si="3"/>
        <v>9089.791734930746</v>
      </c>
      <c r="G71" s="74"/>
      <c r="H71" s="76">
        <f t="shared" si="4"/>
        <v>120897.22313240994</v>
      </c>
      <c r="I71" s="73">
        <f t="shared" si="5"/>
        <v>10074.768594367495</v>
      </c>
      <c r="J71" s="74"/>
      <c r="K71" s="76">
        <f t="shared" si="0"/>
        <v>66493.47272282548</v>
      </c>
      <c r="L71" s="77">
        <f t="shared" si="8"/>
        <v>5541.122726902123</v>
      </c>
    </row>
    <row r="72" spans="2:12" ht="12.75">
      <c r="B72" s="70">
        <f t="shared" si="6"/>
        <v>2050</v>
      </c>
      <c r="C72" s="71">
        <f t="shared" si="7"/>
        <v>100</v>
      </c>
      <c r="D72" s="72"/>
      <c r="E72" s="73">
        <f t="shared" si="2"/>
        <v>110495.50832981816</v>
      </c>
      <c r="F72" s="73">
        <f t="shared" si="3"/>
        <v>9207.959027484847</v>
      </c>
      <c r="G72" s="74"/>
      <c r="H72" s="76">
        <f t="shared" si="4"/>
        <v>122472.78703313129</v>
      </c>
      <c r="I72" s="73">
        <f t="shared" si="5"/>
        <v>10206.065586094273</v>
      </c>
      <c r="J72" s="74"/>
      <c r="K72" s="76">
        <f t="shared" si="0"/>
        <v>67360.03286822222</v>
      </c>
      <c r="L72" s="77">
        <f t="shared" si="8"/>
        <v>5613.336072351852</v>
      </c>
    </row>
    <row r="73" spans="2:12" ht="12.75">
      <c r="B73" s="70">
        <f t="shared" si="6"/>
        <v>2051</v>
      </c>
      <c r="C73" s="71">
        <f t="shared" si="7"/>
        <v>101</v>
      </c>
      <c r="D73" s="72"/>
      <c r="E73" s="73">
        <f t="shared" si="2"/>
        <v>111931.9499381058</v>
      </c>
      <c r="F73" s="73">
        <f t="shared" si="3"/>
        <v>9327.66249484215</v>
      </c>
      <c r="G73" s="74"/>
      <c r="H73" s="76">
        <f t="shared" si="4"/>
        <v>124068.833264562</v>
      </c>
      <c r="I73" s="73">
        <f t="shared" si="5"/>
        <v>10339.069438713499</v>
      </c>
      <c r="J73" s="74"/>
      <c r="K73" s="76">
        <f t="shared" si="0"/>
        <v>68237.8582955091</v>
      </c>
      <c r="L73" s="77">
        <f t="shared" si="8"/>
        <v>5686.488191292425</v>
      </c>
    </row>
    <row r="74" spans="2:12" ht="12.75">
      <c r="B74" s="70">
        <f t="shared" si="6"/>
        <v>2052</v>
      </c>
      <c r="C74" s="71">
        <f t="shared" si="7"/>
        <v>102</v>
      </c>
      <c r="D74" s="72"/>
      <c r="E74" s="73">
        <f t="shared" si="2"/>
        <v>113387.06528730117</v>
      </c>
      <c r="F74" s="73">
        <f t="shared" si="3"/>
        <v>9448.922107275097</v>
      </c>
      <c r="G74" s="74"/>
      <c r="H74" s="76">
        <f t="shared" si="4"/>
        <v>125685.6280970013</v>
      </c>
      <c r="I74" s="73">
        <f t="shared" si="5"/>
        <v>10473.802341416775</v>
      </c>
      <c r="J74" s="74"/>
      <c r="K74" s="76">
        <f t="shared" si="0"/>
        <v>69127.09545335072</v>
      </c>
      <c r="L74" s="77">
        <f t="shared" si="8"/>
        <v>5760.591287779226</v>
      </c>
    </row>
    <row r="75" spans="2:12" ht="12.75">
      <c r="B75" s="70">
        <f t="shared" si="6"/>
        <v>2053</v>
      </c>
      <c r="C75" s="71">
        <f t="shared" si="7"/>
        <v>103</v>
      </c>
      <c r="D75" s="72"/>
      <c r="E75" s="73">
        <f t="shared" si="2"/>
        <v>114861.09713603609</v>
      </c>
      <c r="F75" s="73">
        <f t="shared" si="3"/>
        <v>9571.758094669674</v>
      </c>
      <c r="G75" s="74"/>
      <c r="H75" s="76">
        <f t="shared" si="4"/>
        <v>127323.44126226232</v>
      </c>
      <c r="I75" s="73">
        <f t="shared" si="5"/>
        <v>10610.286771855193</v>
      </c>
      <c r="J75" s="74"/>
      <c r="K75" s="76">
        <f t="shared" si="0"/>
        <v>70027.89269424428</v>
      </c>
      <c r="L75" s="77">
        <f t="shared" si="8"/>
        <v>5835.657724520356</v>
      </c>
    </row>
    <row r="76" spans="2:12" ht="12.75">
      <c r="B76" s="70">
        <f t="shared" si="6"/>
        <v>2054</v>
      </c>
      <c r="C76" s="71">
        <f t="shared" si="7"/>
        <v>104</v>
      </c>
      <c r="D76" s="72"/>
      <c r="E76" s="73">
        <f t="shared" si="2"/>
        <v>116354.29139880455</v>
      </c>
      <c r="F76" s="73">
        <f t="shared" si="3"/>
        <v>9696.19094990038</v>
      </c>
      <c r="G76" s="74"/>
      <c r="H76" s="76">
        <f t="shared" si="4"/>
        <v>128982.54599867172</v>
      </c>
      <c r="I76" s="73">
        <f t="shared" si="5"/>
        <v>10748.54549988931</v>
      </c>
      <c r="J76" s="74"/>
      <c r="K76" s="76">
        <f t="shared" si="0"/>
        <v>70940.40029926944</v>
      </c>
      <c r="L76" s="77">
        <f t="shared" si="8"/>
        <v>5911.70002493912</v>
      </c>
    </row>
    <row r="77" spans="2:12" ht="12.75">
      <c r="B77" s="70">
        <f t="shared" si="6"/>
        <v>2055</v>
      </c>
      <c r="C77" s="71">
        <f t="shared" si="7"/>
        <v>105</v>
      </c>
      <c r="D77" s="72"/>
      <c r="E77" s="73">
        <f t="shared" si="2"/>
        <v>117866.89718698901</v>
      </c>
      <c r="F77" s="73">
        <f t="shared" si="3"/>
        <v>9822.241432249084</v>
      </c>
      <c r="G77" s="74"/>
      <c r="H77" s="76">
        <f t="shared" si="4"/>
        <v>130663.21909665444</v>
      </c>
      <c r="I77" s="73">
        <f t="shared" si="5"/>
        <v>10888.601591387871</v>
      </c>
      <c r="J77" s="74"/>
      <c r="K77" s="76">
        <f t="shared" si="0"/>
        <v>71864.77050315995</v>
      </c>
      <c r="L77" s="77">
        <f t="shared" si="8"/>
        <v>5988.730875263329</v>
      </c>
    </row>
    <row r="78" spans="2:12" ht="12.75">
      <c r="B78" s="70">
        <f t="shared" si="6"/>
        <v>2056</v>
      </c>
      <c r="C78" s="71">
        <f t="shared" si="7"/>
        <v>106</v>
      </c>
      <c r="D78" s="72"/>
      <c r="E78" s="73">
        <f t="shared" si="2"/>
        <v>119399.16685041986</v>
      </c>
      <c r="F78" s="73">
        <f t="shared" si="3"/>
        <v>9949.930570868322</v>
      </c>
      <c r="G78" s="74"/>
      <c r="H78" s="76">
        <f t="shared" si="4"/>
        <v>132365.74094491094</v>
      </c>
      <c r="I78" s="73">
        <f t="shared" si="5"/>
        <v>11030.478412075912</v>
      </c>
      <c r="J78" s="74"/>
      <c r="K78" s="76">
        <f t="shared" si="0"/>
        <v>72801.15751970102</v>
      </c>
      <c r="L78" s="77">
        <f t="shared" si="8"/>
        <v>6066.763126641752</v>
      </c>
    </row>
    <row r="79" spans="2:12" ht="12.75">
      <c r="B79" s="70">
        <f t="shared" si="6"/>
        <v>2057</v>
      </c>
      <c r="C79" s="71">
        <f t="shared" si="7"/>
        <v>107</v>
      </c>
      <c r="D79" s="72"/>
      <c r="E79" s="73">
        <f t="shared" si="2"/>
        <v>120951.35601947532</v>
      </c>
      <c r="F79" s="73">
        <f t="shared" si="3"/>
        <v>10079.27966828961</v>
      </c>
      <c r="G79" s="74"/>
      <c r="H79" s="76">
        <f t="shared" si="4"/>
        <v>134090.3955771948</v>
      </c>
      <c r="I79" s="73">
        <f t="shared" si="5"/>
        <v>11174.1996314329</v>
      </c>
      <c r="J79" s="74"/>
      <c r="K79" s="76">
        <f t="shared" si="0"/>
        <v>73749.71756745715</v>
      </c>
      <c r="L79" s="77">
        <f t="shared" si="8"/>
        <v>6145.809797288096</v>
      </c>
    </row>
    <row r="80" spans="2:12" ht="12.75">
      <c r="B80" s="70">
        <f t="shared" si="6"/>
        <v>2058</v>
      </c>
      <c r="C80" s="71">
        <f t="shared" si="7"/>
        <v>108</v>
      </c>
      <c r="D80" s="72"/>
      <c r="E80" s="73">
        <f t="shared" si="2"/>
        <v>122523.7236477285</v>
      </c>
      <c r="F80" s="73">
        <f t="shared" si="3"/>
        <v>10210.310303977376</v>
      </c>
      <c r="G80" s="74"/>
      <c r="H80" s="76">
        <f t="shared" si="4"/>
        <v>135837.47071969832</v>
      </c>
      <c r="I80" s="73">
        <f t="shared" si="5"/>
        <v>11319.789226641527</v>
      </c>
      <c r="J80" s="74"/>
      <c r="K80" s="76">
        <f t="shared" si="0"/>
        <v>74710.60889583408</v>
      </c>
      <c r="L80" s="77">
        <f t="shared" si="8"/>
        <v>6225.88407465284</v>
      </c>
    </row>
    <row r="81" spans="2:17" ht="12.75">
      <c r="B81" s="70">
        <f t="shared" si="6"/>
        <v>2059</v>
      </c>
      <c r="C81" s="71">
        <f t="shared" si="7"/>
        <v>109</v>
      </c>
      <c r="D81" s="72"/>
      <c r="E81" s="73">
        <f t="shared" si="2"/>
        <v>124116.53205514897</v>
      </c>
      <c r="F81" s="73">
        <f t="shared" si="3"/>
        <v>10343.044337929081</v>
      </c>
      <c r="G81" s="74"/>
      <c r="H81" s="76">
        <f t="shared" si="4"/>
        <v>137607.25783905442</v>
      </c>
      <c r="I81" s="73">
        <f t="shared" si="5"/>
        <v>11467.271486587868</v>
      </c>
      <c r="J81" s="74"/>
      <c r="K81" s="76">
        <f t="shared" si="0"/>
        <v>75683.99181147994</v>
      </c>
      <c r="L81" s="77">
        <f t="shared" si="8"/>
        <v>6306.999317623328</v>
      </c>
      <c r="Q81" s="19"/>
    </row>
    <row r="82" spans="2:12" ht="13.5" thickBot="1">
      <c r="B82" s="78">
        <f t="shared" si="6"/>
        <v>2060</v>
      </c>
      <c r="C82" s="79">
        <f t="shared" si="7"/>
        <v>110</v>
      </c>
      <c r="D82" s="80"/>
      <c r="E82" s="81">
        <f t="shared" si="2"/>
        <v>125730.04697186592</v>
      </c>
      <c r="F82" s="81">
        <f t="shared" si="3"/>
        <v>10477.50391432216</v>
      </c>
      <c r="G82" s="82"/>
      <c r="H82" s="83">
        <f t="shared" si="4"/>
        <v>139400.05219096213</v>
      </c>
      <c r="I82" s="81">
        <f t="shared" si="5"/>
        <v>11616.671015913511</v>
      </c>
      <c r="J82" s="82"/>
      <c r="K82" s="83">
        <f t="shared" si="0"/>
        <v>76670.02870502918</v>
      </c>
      <c r="L82" s="84">
        <f t="shared" si="8"/>
        <v>6389.169058752432</v>
      </c>
    </row>
    <row r="83" spans="5:13" s="19" customFormat="1" ht="13.5" thickBot="1">
      <c r="E83" s="85"/>
      <c r="F83" s="85"/>
      <c r="G83" s="85"/>
      <c r="H83" s="86"/>
      <c r="I83" s="85"/>
      <c r="J83" s="85"/>
      <c r="K83" s="86"/>
      <c r="L83" s="86"/>
      <c r="M83" s="6"/>
    </row>
    <row r="84" spans="2:13" s="19" customFormat="1" ht="26.25" customHeight="1" thickBot="1">
      <c r="B84" s="138" t="s">
        <v>28</v>
      </c>
      <c r="C84" s="139"/>
      <c r="E84" s="85"/>
      <c r="F84" s="85"/>
      <c r="G84" s="85"/>
      <c r="H84" s="87"/>
      <c r="I84" s="88"/>
      <c r="J84" s="85"/>
      <c r="K84" s="86"/>
      <c r="L84" s="86"/>
      <c r="M84" s="6"/>
    </row>
    <row r="85" spans="2:13" s="19" customFormat="1" ht="15" customHeight="1">
      <c r="B85" s="64" t="s">
        <v>0</v>
      </c>
      <c r="C85" s="69" t="s">
        <v>29</v>
      </c>
      <c r="E85" s="89"/>
      <c r="F85" s="34"/>
      <c r="G85" s="34"/>
      <c r="H85" s="34"/>
      <c r="I85" s="34"/>
      <c r="J85" s="34"/>
      <c r="K85" s="35"/>
      <c r="L85" s="86"/>
      <c r="M85" s="6"/>
    </row>
    <row r="86" spans="2:13" s="19" customFormat="1" ht="12.75">
      <c r="B86" s="90" t="str">
        <f>"July 1975"</f>
        <v>July 1975</v>
      </c>
      <c r="C86" s="137">
        <v>8</v>
      </c>
      <c r="E86" s="91"/>
      <c r="F86" s="85"/>
      <c r="G86" s="85"/>
      <c r="H86" s="92" t="s">
        <v>42</v>
      </c>
      <c r="I86" s="128">
        <f>SUM(C86:C131)/46</f>
        <v>3.6326086956521744</v>
      </c>
      <c r="J86" s="94" t="s">
        <v>11</v>
      </c>
      <c r="K86" s="95"/>
      <c r="L86" s="86"/>
      <c r="M86" s="6"/>
    </row>
    <row r="87" spans="2:13" s="19" customFormat="1" ht="12.75">
      <c r="B87" s="90" t="str">
        <f>"July 1976"</f>
        <v>July 1976</v>
      </c>
      <c r="C87" s="137">
        <v>6.4</v>
      </c>
      <c r="E87" s="91"/>
      <c r="F87" s="85"/>
      <c r="G87" s="85"/>
      <c r="H87" s="96"/>
      <c r="I87" s="129"/>
      <c r="J87" s="94"/>
      <c r="K87" s="95"/>
      <c r="L87" s="86"/>
      <c r="M87" s="6"/>
    </row>
    <row r="88" spans="2:13" s="19" customFormat="1" ht="12.75">
      <c r="B88" s="90" t="str">
        <f>"July 1977"</f>
        <v>July 1977</v>
      </c>
      <c r="C88" s="137">
        <v>5.9</v>
      </c>
      <c r="E88" s="91"/>
      <c r="F88" s="85"/>
      <c r="G88" s="85"/>
      <c r="H88" s="92" t="s">
        <v>43</v>
      </c>
      <c r="I88" s="128">
        <f>SUM(C122:C131)/10</f>
        <v>1.65</v>
      </c>
      <c r="J88" s="94" t="s">
        <v>11</v>
      </c>
      <c r="K88" s="95"/>
      <c r="L88" s="86"/>
      <c r="M88" s="6"/>
    </row>
    <row r="89" spans="2:11" ht="12.75">
      <c r="B89" s="90" t="str">
        <f>"July 1978"</f>
        <v>July 1978</v>
      </c>
      <c r="C89" s="137">
        <v>6.5</v>
      </c>
      <c r="E89" s="36"/>
      <c r="F89" s="19"/>
      <c r="G89" s="19"/>
      <c r="H89" s="96"/>
      <c r="I89" s="128"/>
      <c r="J89" s="98"/>
      <c r="K89" s="99"/>
    </row>
    <row r="90" spans="2:16" ht="12.75">
      <c r="B90" s="90" t="str">
        <f>"July 1979"</f>
        <v>July 1979</v>
      </c>
      <c r="C90" s="137">
        <v>9.9</v>
      </c>
      <c r="E90" s="36"/>
      <c r="F90" s="19"/>
      <c r="G90" s="19"/>
      <c r="H90" s="92" t="s">
        <v>44</v>
      </c>
      <c r="I90" s="128">
        <f>SUM(C127:C131)/5</f>
        <v>1.5999999999999999</v>
      </c>
      <c r="J90" s="94" t="s">
        <v>11</v>
      </c>
      <c r="K90" s="99"/>
      <c r="O90" s="19"/>
      <c r="P90" s="19"/>
    </row>
    <row r="91" spans="2:16" s="6" customFormat="1" ht="12.75">
      <c r="B91" s="90" t="str">
        <f>"July 1980"</f>
        <v>July 1980</v>
      </c>
      <c r="C91" s="137">
        <v>14.3</v>
      </c>
      <c r="D91" s="100"/>
      <c r="E91" s="101"/>
      <c r="H91" s="96"/>
      <c r="I91" s="128"/>
      <c r="J91" s="102"/>
      <c r="K91" s="103"/>
      <c r="L91" s="100"/>
      <c r="O91" s="104"/>
      <c r="P91" s="105"/>
    </row>
    <row r="92" spans="2:16" s="6" customFormat="1" ht="12.75">
      <c r="B92" s="90" t="str">
        <f>"July 1981"</f>
        <v>July 1981</v>
      </c>
      <c r="C92" s="137">
        <v>11.2</v>
      </c>
      <c r="D92" s="88"/>
      <c r="E92" s="106"/>
      <c r="H92" s="92" t="s">
        <v>45</v>
      </c>
      <c r="I92" s="128">
        <f>SUM(C129:C131)/3</f>
        <v>1.9000000000000001</v>
      </c>
      <c r="J92" s="94" t="s">
        <v>11</v>
      </c>
      <c r="K92" s="107"/>
      <c r="L92" s="88"/>
      <c r="O92" s="108"/>
      <c r="P92" s="109"/>
    </row>
    <row r="93" spans="2:16" s="19" customFormat="1" ht="12.75">
      <c r="B93" s="90" t="str">
        <f>"July 1982"</f>
        <v>July 1982</v>
      </c>
      <c r="C93" s="137">
        <v>7.4</v>
      </c>
      <c r="E93" s="36"/>
      <c r="K93" s="20"/>
      <c r="M93" s="6"/>
      <c r="O93" s="112"/>
      <c r="P93" s="113"/>
    </row>
    <row r="94" spans="2:16" s="19" customFormat="1" ht="12.75">
      <c r="B94" s="90" t="str">
        <f>"Jan 1984"</f>
        <v>Jan 1984</v>
      </c>
      <c r="C94" s="137">
        <v>3.5</v>
      </c>
      <c r="E94" s="36"/>
      <c r="H94" s="92" t="s">
        <v>46</v>
      </c>
      <c r="I94" s="128">
        <f>SUM(C130:C131)/2</f>
        <v>1.4500000000000002</v>
      </c>
      <c r="J94" s="94" t="s">
        <v>11</v>
      </c>
      <c r="K94" s="133"/>
      <c r="M94" s="6"/>
      <c r="O94" s="112"/>
      <c r="P94" s="113"/>
    </row>
    <row r="95" spans="2:16" s="19" customFormat="1" ht="13.5" thickBot="1">
      <c r="B95" s="90" t="str">
        <f>"Jan 1985"</f>
        <v>Jan 1985</v>
      </c>
      <c r="C95" s="137">
        <v>3.5</v>
      </c>
      <c r="E95" s="110"/>
      <c r="F95" s="48"/>
      <c r="G95" s="48"/>
      <c r="H95" s="134"/>
      <c r="I95" s="135"/>
      <c r="J95" s="48"/>
      <c r="K95" s="111"/>
      <c r="M95" s="6"/>
      <c r="O95" s="112"/>
      <c r="P95" s="113"/>
    </row>
    <row r="96" spans="2:16" s="19" customFormat="1" ht="12.75">
      <c r="B96" s="90" t="str">
        <f>"Jan 1986"</f>
        <v>Jan 1986</v>
      </c>
      <c r="C96" s="137">
        <v>3.1</v>
      </c>
      <c r="H96" s="96"/>
      <c r="I96" s="45"/>
      <c r="M96" s="6"/>
      <c r="O96" s="112"/>
      <c r="P96" s="113"/>
    </row>
    <row r="97" spans="2:16" s="19" customFormat="1" ht="12.75">
      <c r="B97" s="90" t="str">
        <f>"Jan 1987"</f>
        <v>Jan 1987</v>
      </c>
      <c r="C97" s="137">
        <v>1.3</v>
      </c>
      <c r="H97" s="96"/>
      <c r="I97" s="45"/>
      <c r="M97" s="6"/>
      <c r="O97" s="112"/>
      <c r="P97" s="113"/>
    </row>
    <row r="98" spans="2:16" s="19" customFormat="1" ht="12.75">
      <c r="B98" s="90" t="str">
        <f>"Jan 1988"</f>
        <v>Jan 1988</v>
      </c>
      <c r="C98" s="137">
        <v>4.2</v>
      </c>
      <c r="H98" s="96"/>
      <c r="I98" s="45"/>
      <c r="M98" s="6"/>
      <c r="O98" s="112"/>
      <c r="P98" s="113"/>
    </row>
    <row r="99" spans="2:16" s="19" customFormat="1" ht="12.75">
      <c r="B99" s="90" t="str">
        <f>"Jan 1989"</f>
        <v>Jan 1989</v>
      </c>
      <c r="C99" s="137">
        <v>4</v>
      </c>
      <c r="H99" s="96"/>
      <c r="I99" s="45"/>
      <c r="M99" s="6"/>
      <c r="O99" s="112"/>
      <c r="P99" s="113"/>
    </row>
    <row r="100" spans="2:16" s="19" customFormat="1" ht="12.75">
      <c r="B100" s="90" t="str">
        <f>"Jan 1990"</f>
        <v>Jan 1990</v>
      </c>
      <c r="C100" s="137">
        <v>4.7</v>
      </c>
      <c r="H100" s="96"/>
      <c r="I100" s="45"/>
      <c r="M100" s="6"/>
      <c r="O100" s="112"/>
      <c r="P100" s="113"/>
    </row>
    <row r="101" spans="2:16" s="19" customFormat="1" ht="12.75">
      <c r="B101" s="90" t="str">
        <f>"Jan 1991"</f>
        <v>Jan 1991</v>
      </c>
      <c r="C101" s="137">
        <v>5.4</v>
      </c>
      <c r="H101" s="96"/>
      <c r="I101" s="45"/>
      <c r="L101" s="114"/>
      <c r="M101" s="6"/>
      <c r="O101" s="112"/>
      <c r="P101" s="113"/>
    </row>
    <row r="102" spans="2:16" s="19" customFormat="1" ht="12.75">
      <c r="B102" s="90" t="str">
        <f>"Jan 1992"</f>
        <v>Jan 1992</v>
      </c>
      <c r="C102" s="137">
        <v>3.7</v>
      </c>
      <c r="H102" s="96"/>
      <c r="I102" s="45"/>
      <c r="L102" s="114"/>
      <c r="M102" s="6"/>
      <c r="O102" s="112"/>
      <c r="P102" s="113"/>
    </row>
    <row r="103" spans="2:16" s="19" customFormat="1" ht="12.75">
      <c r="B103" s="90" t="str">
        <f>"Jan 1993"</f>
        <v>Jan 1993</v>
      </c>
      <c r="C103" s="137">
        <v>3</v>
      </c>
      <c r="H103" s="96"/>
      <c r="I103" s="45"/>
      <c r="L103" s="114"/>
      <c r="M103" s="6"/>
      <c r="O103" s="112"/>
      <c r="P103" s="113"/>
    </row>
    <row r="104" spans="2:16" s="19" customFormat="1" ht="12.75">
      <c r="B104" s="90" t="str">
        <f>"Jan 1994"</f>
        <v>Jan 1994</v>
      </c>
      <c r="C104" s="137">
        <v>2.6</v>
      </c>
      <c r="H104" s="96"/>
      <c r="I104" s="45"/>
      <c r="K104" s="37"/>
      <c r="L104" s="115"/>
      <c r="M104" s="6"/>
      <c r="O104" s="112"/>
      <c r="P104" s="113"/>
    </row>
    <row r="105" spans="2:16" s="19" customFormat="1" ht="12.75">
      <c r="B105" s="90" t="str">
        <f>"Jan 1995"</f>
        <v>Jan 1995</v>
      </c>
      <c r="C105" s="137">
        <v>2.8</v>
      </c>
      <c r="H105" s="96"/>
      <c r="I105" s="45"/>
      <c r="M105" s="6"/>
      <c r="O105" s="112"/>
      <c r="P105" s="113"/>
    </row>
    <row r="106" spans="2:16" s="19" customFormat="1" ht="12.75">
      <c r="B106" s="90" t="str">
        <f>"Jan 1996"</f>
        <v>Jan 1996</v>
      </c>
      <c r="C106" s="137">
        <v>2.6</v>
      </c>
      <c r="H106" s="96"/>
      <c r="I106" s="45"/>
      <c r="M106" s="6"/>
      <c r="O106" s="112"/>
      <c r="P106" s="113"/>
    </row>
    <row r="107" spans="2:13" s="19" customFormat="1" ht="12.75">
      <c r="B107" s="90" t="str">
        <f>"Jan 1997"</f>
        <v>Jan 1997</v>
      </c>
      <c r="C107" s="137">
        <v>2.9</v>
      </c>
      <c r="H107" s="96"/>
      <c r="I107" s="45"/>
      <c r="M107" s="6"/>
    </row>
    <row r="108" spans="2:13" s="19" customFormat="1" ht="12.75">
      <c r="B108" s="90" t="str">
        <f>"Jan 1998"</f>
        <v>Jan 1998</v>
      </c>
      <c r="C108" s="137">
        <v>2.1</v>
      </c>
      <c r="H108" s="96"/>
      <c r="I108" s="45"/>
      <c r="M108" s="6"/>
    </row>
    <row r="109" spans="2:13" s="19" customFormat="1" ht="12.75">
      <c r="B109" s="90" t="str">
        <f>"Jan 1999"</f>
        <v>Jan 1999</v>
      </c>
      <c r="C109" s="137">
        <v>1.3</v>
      </c>
      <c r="H109" s="96"/>
      <c r="I109" s="45"/>
      <c r="K109" s="37"/>
      <c r="L109" s="93"/>
      <c r="M109" s="6"/>
    </row>
    <row r="110" spans="2:13" s="19" customFormat="1" ht="12.75">
      <c r="B110" s="90" t="str">
        <f>"Jan 2000"</f>
        <v>Jan 2000</v>
      </c>
      <c r="C110" s="137">
        <v>2.5</v>
      </c>
      <c r="H110" s="96"/>
      <c r="I110" s="45"/>
      <c r="K110" s="37"/>
      <c r="L110" s="93"/>
      <c r="M110" s="6"/>
    </row>
    <row r="111" spans="2:13" s="19" customFormat="1" ht="12.75">
      <c r="B111" s="90" t="str">
        <f>"Jan 2001"</f>
        <v>Jan 2001</v>
      </c>
      <c r="C111" s="137">
        <v>3.5</v>
      </c>
      <c r="H111" s="96"/>
      <c r="I111" s="45"/>
      <c r="K111" s="37"/>
      <c r="L111" s="93"/>
      <c r="M111" s="6"/>
    </row>
    <row r="112" spans="2:9" ht="12.75">
      <c r="B112" s="90" t="str">
        <f>"Jan 2002"</f>
        <v>Jan 2002</v>
      </c>
      <c r="C112" s="137">
        <v>2.6</v>
      </c>
      <c r="H112" s="96"/>
      <c r="I112" s="45"/>
    </row>
    <row r="113" spans="2:9" ht="12.75">
      <c r="B113" s="90" t="str">
        <f>"Jan 2003"</f>
        <v>Jan 2003</v>
      </c>
      <c r="C113" s="137">
        <v>1.4</v>
      </c>
      <c r="H113" s="96"/>
      <c r="I113" s="45"/>
    </row>
    <row r="114" spans="2:9" ht="12.75">
      <c r="B114" s="90" t="str">
        <f>"Jan 2004"</f>
        <v>Jan 2004</v>
      </c>
      <c r="C114" s="137">
        <v>2.1</v>
      </c>
      <c r="H114" s="96"/>
      <c r="I114" s="45"/>
    </row>
    <row r="115" spans="2:9" ht="12.75">
      <c r="B115" s="90" t="str">
        <f>"Jan 2005"</f>
        <v>Jan 2005</v>
      </c>
      <c r="C115" s="137">
        <v>2.7</v>
      </c>
      <c r="H115" s="96"/>
      <c r="I115" s="45"/>
    </row>
    <row r="116" spans="2:9" ht="12.75">
      <c r="B116" s="90" t="str">
        <f>"Jan 2006"</f>
        <v>Jan 2006</v>
      </c>
      <c r="C116" s="137">
        <v>4.1</v>
      </c>
      <c r="H116" s="96"/>
      <c r="I116" s="45"/>
    </row>
    <row r="117" spans="2:9" ht="12.75">
      <c r="B117" s="90" t="str">
        <f>"Jan 2007"</f>
        <v>Jan 2007</v>
      </c>
      <c r="C117" s="137">
        <v>3.3</v>
      </c>
      <c r="H117" s="96"/>
      <c r="I117" s="45"/>
    </row>
    <row r="118" spans="2:9" ht="12.75">
      <c r="B118" s="90" t="str">
        <f>"Jan 2008"</f>
        <v>Jan 2008</v>
      </c>
      <c r="C118" s="137">
        <v>2.3</v>
      </c>
      <c r="H118" s="96"/>
      <c r="I118" s="45"/>
    </row>
    <row r="119" spans="2:9" ht="12.75">
      <c r="B119" s="90" t="str">
        <f>"Jan 2009"</f>
        <v>Jan 2009</v>
      </c>
      <c r="C119" s="137">
        <v>5.8</v>
      </c>
      <c r="H119" s="96"/>
      <c r="I119" s="45"/>
    </row>
    <row r="120" spans="2:9" ht="12.75">
      <c r="B120" s="90" t="str">
        <f>"Jan 2010"</f>
        <v>Jan 2010</v>
      </c>
      <c r="C120" s="127">
        <v>0</v>
      </c>
      <c r="H120" s="96"/>
      <c r="I120" s="97"/>
    </row>
    <row r="121" spans="2:9" ht="12.75">
      <c r="B121" s="90" t="str">
        <f>"Jan 2011"</f>
        <v>Jan 2011</v>
      </c>
      <c r="C121" s="127">
        <v>0</v>
      </c>
      <c r="H121" s="96"/>
      <c r="I121" s="97"/>
    </row>
    <row r="122" spans="2:9" ht="12.75">
      <c r="B122" s="90" t="str">
        <f>"Jan 2012"</f>
        <v>Jan 2012</v>
      </c>
      <c r="C122" s="127">
        <v>3.6</v>
      </c>
      <c r="H122" s="96"/>
      <c r="I122" s="97"/>
    </row>
    <row r="123" spans="2:9" ht="12.75">
      <c r="B123" s="90" t="str">
        <f>"Jan 2013"</f>
        <v>Jan 2013</v>
      </c>
      <c r="C123" s="127">
        <v>1.7</v>
      </c>
      <c r="E123" s="7" t="s">
        <v>18</v>
      </c>
      <c r="H123" s="96"/>
      <c r="I123" s="97"/>
    </row>
    <row r="124" spans="2:9" ht="12.75">
      <c r="B124" s="90" t="str">
        <f>"Jan 2014"</f>
        <v>Jan 2014</v>
      </c>
      <c r="C124" s="126">
        <v>1.5</v>
      </c>
      <c r="E124" s="116" t="s">
        <v>17</v>
      </c>
      <c r="H124" s="96"/>
      <c r="I124" s="117"/>
    </row>
    <row r="125" spans="2:3" ht="12.75">
      <c r="B125" s="90" t="str">
        <f>"Jan 2015"</f>
        <v>Jan 2015</v>
      </c>
      <c r="C125" s="127">
        <v>1.7</v>
      </c>
    </row>
    <row r="126" spans="2:3" ht="12.75">
      <c r="B126" s="90" t="str">
        <f>"Jan 2016"</f>
        <v>Jan 2016</v>
      </c>
      <c r="C126" s="137">
        <v>0</v>
      </c>
    </row>
    <row r="127" spans="2:3" ht="12.75">
      <c r="B127" s="132" t="str">
        <f>"Jan 2017"</f>
        <v>Jan 2017</v>
      </c>
      <c r="C127" s="136">
        <v>0.3</v>
      </c>
    </row>
    <row r="128" spans="2:3" ht="12.75">
      <c r="B128" s="132" t="str">
        <f>"Jan 2018"</f>
        <v>Jan 2018</v>
      </c>
      <c r="C128" s="136">
        <v>2</v>
      </c>
    </row>
    <row r="129" spans="2:4" ht="12.75">
      <c r="B129" s="132" t="str">
        <f>"Jan 2019"</f>
        <v>Jan 2019</v>
      </c>
      <c r="C129" s="136">
        <v>2.8</v>
      </c>
      <c r="D129" s="119"/>
    </row>
    <row r="130" spans="2:3" ht="12.75">
      <c r="B130" s="132" t="str">
        <f>"Jan 2020"</f>
        <v>Jan 2020</v>
      </c>
      <c r="C130" s="136">
        <v>1.6</v>
      </c>
    </row>
    <row r="131" spans="2:10" ht="12.75">
      <c r="B131" s="132" t="str">
        <f>"Jan 2021"</f>
        <v>Jan 2021</v>
      </c>
      <c r="C131" s="136">
        <v>1.3</v>
      </c>
      <c r="D131" s="118"/>
      <c r="H131" s="120"/>
      <c r="I131" s="120"/>
      <c r="J131" s="120"/>
    </row>
    <row r="132" spans="2:10" ht="12.75">
      <c r="B132" s="132" t="str">
        <f>"Jan 2022"</f>
        <v>Jan 2022</v>
      </c>
      <c r="C132" s="136" t="s">
        <v>47</v>
      </c>
      <c r="D132" s="118"/>
      <c r="H132" s="120"/>
      <c r="I132" s="120"/>
      <c r="J132" s="120"/>
    </row>
    <row r="133" spans="2:3" ht="12.75">
      <c r="B133" s="132" t="str">
        <f>"Jan 2023"</f>
        <v>Jan 2023</v>
      </c>
      <c r="C133" s="136" t="s">
        <v>47</v>
      </c>
    </row>
  </sheetData>
  <sheetProtection password="C31B" sheet="1" objects="1" scenarios="1"/>
  <mergeCells count="7">
    <mergeCell ref="B84:C84"/>
    <mergeCell ref="E41:F41"/>
    <mergeCell ref="B2:L2"/>
    <mergeCell ref="H41:I41"/>
    <mergeCell ref="K41:L41"/>
    <mergeCell ref="B3:L3"/>
    <mergeCell ref="B4:L4"/>
  </mergeCells>
  <hyperlinks>
    <hyperlink ref="E124" r:id="rId1" display="http://www.ssa.gov/cola/automatic-cola.htm"/>
    <hyperlink ref="K28" r:id="rId2" display="FJC999@AOL.COM"/>
    <hyperlink ref="C26" r:id="rId3" tooltip="http://www.federalretirement.net/" display="http://www.federalretirement.net/"/>
  </hyperlinks>
  <printOptions horizontalCentered="1"/>
  <pageMargins left="0.25" right="0.25" top="1.5" bottom="0.5" header="0.5" footer="0.5"/>
  <pageSetup horizontalDpi="600" verticalDpi="600" orientation="portrait" r:id="rId4"/>
  <headerFooter alignWithMargins="0">
    <oddHeader>&amp;C&amp;"Arial,Bold"&amp;14PROJECTED CSRS ANNUITY CALCULATOR</oddHeader>
    <oddFooter>&amp;L&amp;8&amp;D (&amp;T)&amp;C&amp;8&amp;P of &amp;N&amp;R&amp;8File: &amp;F</oddFooter>
  </headerFooter>
  <rowBreaks count="2" manualBreakCount="2">
    <brk id="40" max="11" man="1"/>
    <brk id="83" max="11" man="1"/>
  </rowBreaks>
  <ignoredErrors>
    <ignoredError sqref="K50" formula="1"/>
    <ignoredError sqref="E46:E59 E43 E44:E45 E73 E60:E72 E74:E82" unlockedFormula="1"/>
    <ignoredError sqref="I94 I88:I90 I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J. Cullen</dc:creator>
  <cp:keywords/>
  <dc:description/>
  <cp:lastModifiedBy>Windows User</cp:lastModifiedBy>
  <cp:lastPrinted>2016-10-25T20:31:17Z</cp:lastPrinted>
  <dcterms:created xsi:type="dcterms:W3CDTF">2008-02-05T22:55:06Z</dcterms:created>
  <dcterms:modified xsi:type="dcterms:W3CDTF">2020-10-30T21:45:33Z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