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6990" activeTab="0"/>
  </bookViews>
  <sheets>
    <sheet name="Sheet1" sheetId="1" r:id="rId1"/>
  </sheets>
  <definedNames>
    <definedName name="_xlnm.Print_Area" localSheetId="0">'Sheet1'!$A$1:$L$152</definedName>
  </definedNames>
  <calcPr fullCalcOnLoad="1"/>
</workbook>
</file>

<file path=xl/sharedStrings.xml><?xml version="1.0" encoding="utf-8"?>
<sst xmlns="http://schemas.openxmlformats.org/spreadsheetml/2006/main" count="93" uniqueCount="68">
  <si>
    <t>Year</t>
  </si>
  <si>
    <t>Age</t>
  </si>
  <si>
    <t>Annual</t>
  </si>
  <si>
    <t>Monthly</t>
  </si>
  <si>
    <t xml:space="preserve">Actual Annuity (With Survivor Benefit) for Year </t>
  </si>
  <si>
    <t>My Age at the beginning of</t>
  </si>
  <si>
    <t xml:space="preserve">is </t>
  </si>
  <si>
    <t>Projected Annuity with Survivor Benefit Would Be</t>
  </si>
  <si>
    <t>FJC999@AOL.COM</t>
  </si>
  <si>
    <t xml:space="preserve">Estimated Average Future COLA (see Notes Below) is </t>
  </si>
  <si>
    <t>percent</t>
  </si>
  <si>
    <t>Projected Annuity Without Survivor Benefit Would Have  Beeen</t>
  </si>
  <si>
    <t>Projected Survivor Annuity Would Be</t>
  </si>
  <si>
    <r>
      <t xml:space="preserve">you select as an </t>
    </r>
    <r>
      <rPr>
        <u val="single"/>
        <sz val="12"/>
        <rFont val="Arial"/>
        <family val="2"/>
      </rPr>
      <t>estimated average future COLA</t>
    </r>
    <r>
      <rPr>
        <sz val="12"/>
        <rFont val="Arial"/>
        <family val="2"/>
      </rPr>
      <t>.  You can base your estimate for the future average</t>
    </r>
  </si>
  <si>
    <t>Note:  Source for Historical COLA data is the official U.S. Social Security Website</t>
  </si>
  <si>
    <t>should you precede your Spouse in death.  This is important since your Spouse's Survivor Annuity is</t>
  </si>
  <si>
    <t>on that can get a little tricky, but don't worry, I've done it for you.  All you need to do is enter the</t>
  </si>
  <si>
    <r>
      <t xml:space="preserve">own, the password is </t>
    </r>
    <r>
      <rPr>
        <u val="single"/>
        <sz val="12"/>
        <rFont val="Arial"/>
        <family val="2"/>
      </rPr>
      <t>becareful</t>
    </r>
    <r>
      <rPr>
        <sz val="12"/>
        <rFont val="Arial"/>
        <family val="2"/>
      </rPr>
      <t xml:space="preserve">.  I hope that you find this Calculator to be useful. </t>
    </r>
  </si>
  <si>
    <t>formulas are not inadvertently altered.  If you would like to fool around with the Spreadsheet on your</t>
  </si>
  <si>
    <t>COLA %</t>
  </si>
  <si>
    <t>For additional information on retirement planning and benefits for federal employees and annuitants</t>
  </si>
  <si>
    <t xml:space="preserve">visit:  </t>
  </si>
  <si>
    <t>www.federalretirement.net.</t>
  </si>
  <si>
    <t>Annuitant.  I know little or nothing about FERS retirement.)</t>
  </si>
  <si>
    <t xml:space="preserve">COLA on actual historical COLA averages (shown below the Spreadsheet) … or you can take a </t>
  </si>
  <si>
    <r>
      <t xml:space="preserve">future Retirement Annuity for 40 years, based upon what your </t>
    </r>
    <r>
      <rPr>
        <u val="single"/>
        <sz val="12"/>
        <rFont val="Arial"/>
        <family val="2"/>
      </rPr>
      <t>current actual Annuity</t>
    </r>
    <r>
      <rPr>
        <sz val="12"/>
        <rFont val="Arial"/>
        <family val="2"/>
      </rPr>
      <t xml:space="preserve"> is and a value</t>
    </r>
  </si>
  <si>
    <r>
      <t xml:space="preserve">based upon what your Annuity would have been had you </t>
    </r>
    <r>
      <rPr>
        <u val="single"/>
        <sz val="12"/>
        <rFont val="Arial"/>
        <family val="2"/>
      </rPr>
      <t>not selected</t>
    </r>
    <r>
      <rPr>
        <sz val="12"/>
        <rFont val="Arial"/>
        <family val="2"/>
      </rPr>
      <t xml:space="preserve"> the Survivor Benefit.  The math</t>
    </r>
  </si>
  <si>
    <t xml:space="preserve">(Please keep in mind that my knowledge and research for this spreadsheet were based upon the fact that I am a CSRS </t>
  </si>
  <si>
    <t>TBD</t>
  </si>
  <si>
    <r>
      <t xml:space="preserve">Welcome to the </t>
    </r>
    <r>
      <rPr>
        <b/>
        <sz val="12"/>
        <rFont val="Arial"/>
        <family val="2"/>
      </rPr>
      <t>"</t>
    </r>
    <r>
      <rPr>
        <b/>
        <u val="single"/>
        <sz val="12"/>
        <rFont val="Arial"/>
        <family val="2"/>
      </rPr>
      <t>Projected Annuity Calculator</t>
    </r>
    <r>
      <rPr>
        <b/>
        <sz val="12"/>
        <rFont val="Arial"/>
        <family val="2"/>
      </rPr>
      <t>"</t>
    </r>
    <r>
      <rPr>
        <sz val="12"/>
        <rFont val="Arial"/>
        <family val="2"/>
      </rPr>
      <t xml:space="preserve">.  This Spreadsheet will estimate your </t>
    </r>
  </si>
  <si>
    <r>
      <t xml:space="preserve">The Spreadsheet will also tell you what your spouse's </t>
    </r>
    <r>
      <rPr>
        <b/>
        <sz val="12"/>
        <rFont val="Arial"/>
        <family val="2"/>
      </rPr>
      <t>'Projected Survivor Annuity'</t>
    </r>
    <r>
      <rPr>
        <sz val="12"/>
        <rFont val="Arial"/>
        <family val="2"/>
      </rPr>
      <t xml:space="preserve"> will be </t>
    </r>
  </si>
  <si>
    <t>PROJECTED CSRS &amp; FERS ANNUITY CALCULATOR</t>
  </si>
  <si>
    <r>
      <rPr>
        <b/>
        <sz val="12"/>
        <rFont val="Arial"/>
        <family val="2"/>
      </rPr>
      <t xml:space="preserve">For FERS employees </t>
    </r>
    <r>
      <rPr>
        <sz val="12"/>
        <rFont val="Arial"/>
        <family val="2"/>
      </rPr>
      <t xml:space="preserve">the projected annuity without survivor benefit will be the same; </t>
    </r>
  </si>
  <si>
    <t xml:space="preserve">The column reserved for your projected annuity with survivor benefits will be slightly lower since the </t>
  </si>
  <si>
    <t xml:space="preserve">maximum spousal benefit is 50% for FERS, not the 55% for CSRS. Also, the full FERS annuity </t>
  </si>
  <si>
    <t xml:space="preserve">will cost the retiree a little more because FERS employees pay 10% of their annuity for a full </t>
  </si>
  <si>
    <t xml:space="preserve">survivor’s benefit where CSRS pay just under 10%. FERS COLAs are also weighted and </t>
  </si>
  <si>
    <t xml:space="preserve">This calculator was developed by Frank Cullen, an old friend. We both retired under </t>
  </si>
  <si>
    <t xml:space="preserve">the CSRS system. FERS employees are able to use the Calculator as noted above. </t>
  </si>
  <si>
    <t>Frank 'locked' the entire Spreadsheet except for the 4 highlighted entry cells.  This ensures that</t>
  </si>
  <si>
    <r>
      <t xml:space="preserve">gut based </t>
    </r>
    <r>
      <rPr>
        <b/>
        <u val="single"/>
        <sz val="12"/>
        <rFont val="Arial"/>
        <family val="2"/>
      </rPr>
      <t>W</t>
    </r>
    <r>
      <rPr>
        <sz val="12"/>
        <rFont val="Arial"/>
        <family val="2"/>
      </rPr>
      <t xml:space="preserve">ild </t>
    </r>
    <r>
      <rPr>
        <b/>
        <u val="single"/>
        <sz val="12"/>
        <rFont val="Arial"/>
        <family val="2"/>
      </rPr>
      <t>A</t>
    </r>
    <r>
      <rPr>
        <sz val="12"/>
        <rFont val="Arial"/>
        <family val="2"/>
      </rPr>
      <t xml:space="preserve">ss </t>
    </r>
    <r>
      <rPr>
        <b/>
        <u val="single"/>
        <sz val="12"/>
        <rFont val="Arial"/>
        <family val="2"/>
      </rPr>
      <t>G</t>
    </r>
    <r>
      <rPr>
        <sz val="12"/>
        <rFont val="Arial"/>
        <family val="2"/>
      </rPr>
      <t xml:space="preserve">uess. </t>
    </r>
  </si>
  <si>
    <t>This Calculator was originally desiged for retired CSRS employees that elected a 'Survivor Benefit'.</t>
  </si>
  <si>
    <r>
      <t xml:space="preserve">It can also be adapted to </t>
    </r>
    <r>
      <rPr>
        <b/>
        <u val="single"/>
        <sz val="12"/>
        <rFont val="Arial"/>
        <family val="2"/>
      </rPr>
      <t>FERS</t>
    </r>
    <r>
      <rPr>
        <sz val="12"/>
        <rFont val="Arial"/>
        <family val="2"/>
      </rPr>
      <t xml:space="preserve"> retirement as noted below. The Calculator shows what</t>
    </r>
  </si>
  <si>
    <t>your Annuity would have been had you not selected the Survivor Benefit. This could</t>
  </si>
  <si>
    <r>
      <t xml:space="preserve">come in handy should your Spouse precede you in death, since your Annuity would then </t>
    </r>
  </si>
  <si>
    <t>Updated to include January 2022 COLA</t>
  </si>
  <si>
    <t xml:space="preserve">10 Year Average COLA (2013 - 2022) is </t>
  </si>
  <si>
    <t xml:space="preserve">5 Year Average COLA (2018 - 2022) is </t>
  </si>
  <si>
    <t xml:space="preserve">3 Year Average COLA (2020 - 2022) is </t>
  </si>
  <si>
    <t xml:space="preserve">2 Year Average COLA (2021 - 2022) is </t>
  </si>
  <si>
    <t>retirement decisions.  Over time, various factors relied upon as a basis for this spreadsheet may change.  Consult</t>
  </si>
  <si>
    <t>with a financial planner where appropriate to ensure you and your family will have sufficient retirement income from</t>
  </si>
  <si>
    <r>
      <t>Disclaimer</t>
    </r>
    <r>
      <rPr>
        <i/>
        <sz val="10"/>
        <color indexed="8"/>
        <rFont val="Arial"/>
        <family val="2"/>
      </rPr>
      <t>:  The information provided is for planning purposes only and should not be relied upon to make critical</t>
    </r>
  </si>
  <si>
    <t xml:space="preserve">all available resources.  The Excel spreadsheet developer or website publisher shall not be liable for any loss or any </t>
  </si>
  <si>
    <t>other commercial damages, including but not limited to special, incidental, consequential, or other damages".</t>
  </si>
  <si>
    <t>Actual Historical CSRS COLAs</t>
  </si>
  <si>
    <t>(Version 2.0 -- August 22, 2022)</t>
  </si>
  <si>
    <t xml:space="preserve">just enter your current actual annuity, your age, year of retirement, what you consider to be </t>
  </si>
  <si>
    <t xml:space="preserve">revert back to an 'Annuity Without a Survivor Benefit'. </t>
  </si>
  <si>
    <t xml:space="preserve">appropriate values in the four yellow highlighted cells below.  The spreadsheet will do the rest for you.  </t>
  </si>
  <si>
    <t>adjusted down when the COLA exceeds 2%.  Historical FERS COLAs are shown below.</t>
  </si>
  <si>
    <t>If you have any questions or suggestions you can contact Frank at:</t>
  </si>
  <si>
    <t>Actual Historical FERS COLAs</t>
  </si>
  <si>
    <t xml:space="preserve">28 Year Average COLA (1995 - 2022) is </t>
  </si>
  <si>
    <t xml:space="preserve">47 Year Average COLA (1975 - 2022) is </t>
  </si>
  <si>
    <t>)/10</t>
  </si>
  <si>
    <t>http://www.ssa.gov/cola/</t>
  </si>
  <si>
    <t xml:space="preserve">a realistic COLA growth rate, and the spreadsheet will calculate your annuity for the next 40 years!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</si>
</sst>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0.0%"/>
    <numFmt numFmtId="172" formatCode="&quot;$&quot;#,##0"/>
  </numFmts>
  <fonts count="37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Verdana"/>
      <family val="2"/>
    </font>
    <font>
      <u val="single"/>
      <sz val="12"/>
      <color indexed="12"/>
      <name val="Arial"/>
      <family val="0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23" fillId="17" borderId="0" applyNumberFormat="0" applyBorder="0" applyAlignment="0" applyProtection="0"/>
    <xf numFmtId="0" fontId="27" fillId="9" borderId="1" applyNumberFormat="0" applyAlignment="0" applyProtection="0"/>
    <xf numFmtId="0" fontId="2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3" borderId="1" applyNumberFormat="0" applyAlignment="0" applyProtection="0"/>
    <xf numFmtId="0" fontId="28" fillId="0" borderId="6" applyNumberFormat="0" applyFill="0" applyAlignment="0" applyProtection="0"/>
    <xf numFmtId="0" fontId="24" fillId="10" borderId="0" applyNumberFormat="0" applyBorder="0" applyAlignment="0" applyProtection="0"/>
    <xf numFmtId="0" fontId="0" fillId="5" borderId="7" applyNumberFormat="0" applyFont="0" applyAlignment="0" applyProtection="0"/>
    <xf numFmtId="0" fontId="26" fillId="9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8" fillId="10" borderId="10" xfId="0" applyFont="1" applyFill="1" applyBorder="1" applyAlignment="1" applyProtection="1">
      <alignment horizontal="center"/>
      <protection locked="0"/>
    </xf>
    <xf numFmtId="0" fontId="13" fillId="10" borderId="10" xfId="0" applyFont="1" applyFill="1" applyBorder="1" applyAlignment="1" applyProtection="1">
      <alignment horizontal="center"/>
      <protection locked="0"/>
    </xf>
    <xf numFmtId="0" fontId="0" fillId="18" borderId="11" xfId="0" applyFill="1" applyBorder="1" applyAlignment="1" applyProtection="1">
      <alignment/>
      <protection/>
    </xf>
    <xf numFmtId="0" fontId="0" fillId="18" borderId="12" xfId="0" applyFill="1" applyBorder="1" applyAlignment="1" applyProtection="1">
      <alignment/>
      <protection/>
    </xf>
    <xf numFmtId="0" fontId="0" fillId="18" borderId="1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18" borderId="14" xfId="0" applyFont="1" applyFill="1" applyBorder="1" applyAlignment="1" applyProtection="1">
      <alignment horizontal="center"/>
      <protection/>
    </xf>
    <xf numFmtId="0" fontId="0" fillId="18" borderId="15" xfId="0" applyFill="1" applyBorder="1" applyAlignment="1" applyProtection="1">
      <alignment/>
      <protection/>
    </xf>
    <xf numFmtId="0" fontId="0" fillId="18" borderId="16" xfId="0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17" xfId="0" applyFont="1" applyFill="1" applyBorder="1" applyAlignment="1" applyProtection="1" quotePrefix="1">
      <alignment horizontal="left"/>
      <protection/>
    </xf>
    <xf numFmtId="0" fontId="11" fillId="0" borderId="17" xfId="53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17" xfId="53" applyFont="1" applyFill="1" applyBorder="1" applyAlignment="1" applyProtection="1">
      <alignment horizontal="left"/>
      <protection/>
    </xf>
    <xf numFmtId="0" fontId="11" fillId="0" borderId="0" xfId="53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11" xfId="0" applyFont="1" applyFill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165" fontId="2" fillId="0" borderId="15" xfId="0" applyNumberFormat="1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 horizontal="left"/>
      <protection/>
    </xf>
    <xf numFmtId="165" fontId="3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right"/>
      <protection/>
    </xf>
    <xf numFmtId="165" fontId="2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right"/>
      <protection/>
    </xf>
    <xf numFmtId="0" fontId="3" fillId="9" borderId="19" xfId="0" applyFont="1" applyFill="1" applyBorder="1" applyAlignment="1" applyProtection="1">
      <alignment horizontal="center"/>
      <protection/>
    </xf>
    <xf numFmtId="0" fontId="3" fillId="9" borderId="20" xfId="0" applyFont="1" applyFill="1" applyBorder="1" applyAlignment="1" applyProtection="1">
      <alignment horizontal="center"/>
      <protection/>
    </xf>
    <xf numFmtId="0" fontId="3" fillId="18" borderId="21" xfId="0" applyFont="1" applyFill="1" applyBorder="1" applyAlignment="1" applyProtection="1">
      <alignment horizontal="center"/>
      <protection/>
    </xf>
    <xf numFmtId="0" fontId="3" fillId="18" borderId="22" xfId="0" applyFont="1" applyFill="1" applyBorder="1" applyAlignment="1" applyProtection="1">
      <alignment horizontal="center" wrapText="1"/>
      <protection/>
    </xf>
    <xf numFmtId="0" fontId="3" fillId="9" borderId="23" xfId="0" applyFont="1" applyFill="1" applyBorder="1" applyAlignment="1" applyProtection="1">
      <alignment horizontal="center"/>
      <protection/>
    </xf>
    <xf numFmtId="0" fontId="3" fillId="9" borderId="10" xfId="0" applyFont="1" applyFill="1" applyBorder="1" applyAlignment="1" applyProtection="1">
      <alignment horizontal="center"/>
      <protection/>
    </xf>
    <xf numFmtId="0" fontId="3" fillId="18" borderId="10" xfId="0" applyFont="1" applyFill="1" applyBorder="1" applyAlignment="1" applyProtection="1">
      <alignment horizontal="center"/>
      <protection/>
    </xf>
    <xf numFmtId="0" fontId="3" fillId="9" borderId="10" xfId="0" applyFont="1" applyFill="1" applyBorder="1" applyAlignment="1" applyProtection="1">
      <alignment horizontal="center" wrapText="1"/>
      <protection/>
    </xf>
    <xf numFmtId="0" fontId="3" fillId="18" borderId="10" xfId="0" applyFont="1" applyFill="1" applyBorder="1" applyAlignment="1" applyProtection="1">
      <alignment horizontal="center" wrapText="1"/>
      <protection/>
    </xf>
    <xf numFmtId="0" fontId="3" fillId="9" borderId="24" xfId="0" applyFont="1" applyFill="1" applyBorder="1" applyAlignment="1" applyProtection="1">
      <alignment horizontal="center" wrapText="1"/>
      <protection/>
    </xf>
    <xf numFmtId="0" fontId="0" fillId="0" borderId="23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18" borderId="10" xfId="0" applyFill="1" applyBorder="1" applyAlignment="1" applyProtection="1">
      <alignment/>
      <protection/>
    </xf>
    <xf numFmtId="164" fontId="0" fillId="0" borderId="10" xfId="0" applyNumberFormat="1" applyFill="1" applyBorder="1" applyAlignment="1" applyProtection="1">
      <alignment/>
      <protection/>
    </xf>
    <xf numFmtId="164" fontId="0" fillId="18" borderId="10" xfId="0" applyNumberFormat="1" applyFill="1" applyBorder="1" applyAlignment="1" applyProtection="1">
      <alignment/>
      <protection/>
    </xf>
    <xf numFmtId="164" fontId="0" fillId="0" borderId="24" xfId="0" applyNumberFormat="1" applyFill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164" fontId="0" fillId="0" borderId="24" xfId="0" applyNumberForma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18" borderId="26" xfId="0" applyFill="1" applyBorder="1" applyAlignment="1" applyProtection="1">
      <alignment/>
      <protection/>
    </xf>
    <xf numFmtId="164" fontId="0" fillId="0" borderId="26" xfId="0" applyNumberFormat="1" applyFill="1" applyBorder="1" applyAlignment="1" applyProtection="1">
      <alignment/>
      <protection/>
    </xf>
    <xf numFmtId="164" fontId="0" fillId="18" borderId="26" xfId="0" applyNumberFormat="1" applyFill="1" applyBorder="1" applyAlignment="1" applyProtection="1">
      <alignment/>
      <protection/>
    </xf>
    <xf numFmtId="164" fontId="0" fillId="0" borderId="26" xfId="0" applyNumberFormat="1" applyBorder="1" applyAlignment="1" applyProtection="1">
      <alignment/>
      <protection/>
    </xf>
    <xf numFmtId="164" fontId="0" fillId="0" borderId="27" xfId="0" applyNumberFormat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23" xfId="0" applyNumberFormat="1" applyBorder="1" applyAlignment="1" applyProtection="1">
      <alignment/>
      <protection/>
    </xf>
    <xf numFmtId="164" fontId="0" fillId="0" borderId="17" xfId="0" applyNumberFormat="1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right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18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right" wrapText="1"/>
      <protection/>
    </xf>
    <xf numFmtId="0" fontId="0" fillId="0" borderId="1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 horizontal="right"/>
      <protection/>
    </xf>
    <xf numFmtId="165" fontId="0" fillId="0" borderId="0" xfId="0" applyNumberFormat="1" applyFont="1" applyBorder="1" applyAlignment="1" applyProtection="1">
      <alignment horizontal="right"/>
      <protection/>
    </xf>
    <xf numFmtId="0" fontId="11" fillId="0" borderId="0" xfId="53" applyAlignment="1" applyProtection="1">
      <alignment/>
      <protection/>
    </xf>
    <xf numFmtId="165" fontId="0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65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left"/>
      <protection/>
    </xf>
    <xf numFmtId="172" fontId="8" fillId="10" borderId="1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16" fillId="0" borderId="0" xfId="53" applyFont="1" applyAlignment="1" applyProtection="1">
      <alignment/>
      <protection/>
    </xf>
    <xf numFmtId="0" fontId="17" fillId="0" borderId="17" xfId="0" applyFont="1" applyBorder="1" applyAlignment="1">
      <alignment/>
    </xf>
    <xf numFmtId="165" fontId="0" fillId="0" borderId="28" xfId="0" applyNumberFormat="1" applyFont="1" applyBorder="1" applyAlignment="1" applyProtection="1">
      <alignment horizontal="center"/>
      <protection/>
    </xf>
    <xf numFmtId="165" fontId="0" fillId="0" borderId="24" xfId="0" applyNumberFormat="1" applyFont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0" borderId="17" xfId="53" applyFont="1" applyFill="1" applyBorder="1" applyAlignment="1" applyProtection="1">
      <alignment horizontal="left"/>
      <protection/>
    </xf>
    <xf numFmtId="0" fontId="0" fillId="0" borderId="14" xfId="53" applyFont="1" applyFill="1" applyBorder="1" applyAlignment="1" applyProtection="1">
      <alignment horizontal="left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18" xfId="0" applyNumberFormat="1" applyBorder="1" applyAlignment="1" applyProtection="1">
      <alignment horizontal="right"/>
      <protection/>
    </xf>
    <xf numFmtId="0" fontId="0" fillId="0" borderId="15" xfId="0" applyNumberFormat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165" fontId="0" fillId="0" borderId="10" xfId="0" applyNumberFormat="1" applyBorder="1" applyAlignment="1" applyProtection="1">
      <alignment horizontal="center"/>
      <protection/>
    </xf>
    <xf numFmtId="165" fontId="0" fillId="0" borderId="24" xfId="0" applyNumberForma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6" fillId="0" borderId="11" xfId="0" applyFont="1" applyBorder="1" applyAlignment="1">
      <alignment/>
    </xf>
    <xf numFmtId="0" fontId="35" fillId="0" borderId="12" xfId="0" applyFont="1" applyBorder="1" applyAlignment="1">
      <alignment wrapText="1"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6" fillId="0" borderId="17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6" fillId="0" borderId="18" xfId="0" applyNumberFormat="1" applyFont="1" applyBorder="1" applyAlignment="1">
      <alignment horizontal="left" wrapText="1"/>
    </xf>
    <xf numFmtId="0" fontId="2" fillId="18" borderId="29" xfId="0" applyFont="1" applyFill="1" applyBorder="1" applyAlignment="1" applyProtection="1">
      <alignment horizontal="center" wrapText="1"/>
      <protection/>
    </xf>
    <xf numFmtId="0" fontId="2" fillId="18" borderId="30" xfId="0" applyFont="1" applyFill="1" applyBorder="1" applyAlignment="1" applyProtection="1">
      <alignment horizontal="center" wrapText="1"/>
      <protection/>
    </xf>
    <xf numFmtId="0" fontId="3" fillId="9" borderId="21" xfId="0" applyFont="1" applyFill="1" applyBorder="1" applyAlignment="1" applyProtection="1">
      <alignment horizontal="center" wrapText="1"/>
      <protection/>
    </xf>
    <xf numFmtId="0" fontId="3" fillId="9" borderId="31" xfId="0" applyFont="1" applyFill="1" applyBorder="1" applyAlignment="1" applyProtection="1">
      <alignment horizontal="center" wrapText="1"/>
      <protection/>
    </xf>
    <xf numFmtId="0" fontId="5" fillId="18" borderId="17" xfId="0" applyFont="1" applyFill="1" applyBorder="1" applyAlignment="1" applyProtection="1">
      <alignment horizontal="center"/>
      <protection/>
    </xf>
    <xf numFmtId="0" fontId="0" fillId="18" borderId="0" xfId="0" applyFill="1" applyBorder="1" applyAlignment="1" applyProtection="1">
      <alignment/>
      <protection/>
    </xf>
    <xf numFmtId="0" fontId="0" fillId="18" borderId="18" xfId="0" applyFill="1" applyBorder="1" applyAlignment="1" applyProtection="1">
      <alignment/>
      <protection/>
    </xf>
    <xf numFmtId="0" fontId="0" fillId="0" borderId="31" xfId="0" applyBorder="1" applyAlignment="1" applyProtection="1">
      <alignment horizontal="center" wrapText="1"/>
      <protection/>
    </xf>
    <xf numFmtId="0" fontId="3" fillId="9" borderId="30" xfId="0" applyFont="1" applyFill="1" applyBorder="1" applyAlignment="1" applyProtection="1">
      <alignment horizontal="center" wrapText="1"/>
      <protection/>
    </xf>
    <xf numFmtId="0" fontId="2" fillId="18" borderId="17" xfId="0" applyFont="1" applyFill="1" applyBorder="1" applyAlignment="1" applyProtection="1">
      <alignment horizontal="center"/>
      <protection/>
    </xf>
    <xf numFmtId="0" fontId="2" fillId="18" borderId="0" xfId="0" applyFont="1" applyFill="1" applyBorder="1" applyAlignment="1" applyProtection="1">
      <alignment horizontal="center"/>
      <protection/>
    </xf>
    <xf numFmtId="0" fontId="2" fillId="18" borderId="18" xfId="0" applyFont="1" applyFill="1" applyBorder="1" applyAlignment="1" applyProtection="1">
      <alignment horizontal="center"/>
      <protection/>
    </xf>
    <xf numFmtId="0" fontId="14" fillId="18" borderId="17" xfId="0" applyFont="1" applyFill="1" applyBorder="1" applyAlignment="1" applyProtection="1">
      <alignment horizontal="center"/>
      <protection/>
    </xf>
    <xf numFmtId="0" fontId="14" fillId="18" borderId="0" xfId="0" applyFont="1" applyFill="1" applyBorder="1" applyAlignment="1" applyProtection="1">
      <alignment horizontal="center"/>
      <protection/>
    </xf>
    <xf numFmtId="0" fontId="14" fillId="18" borderId="18" xfId="0" applyFont="1" applyFill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JC999@AOL.COM" TargetMode="External" /><Relationship Id="rId2" Type="http://schemas.openxmlformats.org/officeDocument/2006/relationships/hyperlink" Target="http://www.federalretirement.net/" TargetMode="External" /><Relationship Id="rId3" Type="http://schemas.openxmlformats.org/officeDocument/2006/relationships/hyperlink" Target="http://www.ssa.gov/cola/" TargetMode="External" /><Relationship Id="rId4" Type="http://schemas.openxmlformats.org/officeDocument/2006/relationships/hyperlink" Target="http://www.ssa.gov/cola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09"/>
  <sheetViews>
    <sheetView showGridLines="0" tabSelected="1" zoomScalePageLayoutView="0" workbookViewId="0" topLeftCell="A1">
      <selection activeCell="S53" sqref="S53"/>
    </sheetView>
  </sheetViews>
  <sheetFormatPr defaultColWidth="9.140625" defaultRowHeight="12.75"/>
  <cols>
    <col min="1" max="1" width="1.7109375" style="7" customWidth="1"/>
    <col min="2" max="3" width="9.140625" style="7" customWidth="1"/>
    <col min="4" max="4" width="2.421875" style="7" customWidth="1"/>
    <col min="5" max="5" width="13.7109375" style="7" customWidth="1"/>
    <col min="6" max="6" width="11.140625" style="7" customWidth="1"/>
    <col min="7" max="7" width="2.421875" style="7" customWidth="1"/>
    <col min="8" max="8" width="11.28125" style="7" customWidth="1"/>
    <col min="9" max="9" width="13.140625" style="7" customWidth="1"/>
    <col min="10" max="10" width="2.421875" style="7" customWidth="1"/>
    <col min="11" max="11" width="14.140625" style="7" customWidth="1"/>
    <col min="12" max="12" width="11.421875" style="7" customWidth="1"/>
    <col min="13" max="13" width="12.140625" style="6" customWidth="1"/>
    <col min="14" max="16384" width="9.140625" style="7" customWidth="1"/>
  </cols>
  <sheetData>
    <row r="1" spans="2:12" ht="12.75">
      <c r="B1" s="3"/>
      <c r="C1" s="4"/>
      <c r="D1" s="4"/>
      <c r="E1" s="4"/>
      <c r="F1" s="4"/>
      <c r="G1" s="4"/>
      <c r="H1" s="4"/>
      <c r="I1" s="4"/>
      <c r="J1" s="4"/>
      <c r="K1" s="4"/>
      <c r="L1" s="5"/>
    </row>
    <row r="2" spans="2:12" ht="15.75">
      <c r="B2" s="161" t="s">
        <v>31</v>
      </c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2:12" ht="12.75">
      <c r="B3" s="166" t="s">
        <v>56</v>
      </c>
      <c r="C3" s="167"/>
      <c r="D3" s="167"/>
      <c r="E3" s="167"/>
      <c r="F3" s="167"/>
      <c r="G3" s="167"/>
      <c r="H3" s="167"/>
      <c r="I3" s="167"/>
      <c r="J3" s="167"/>
      <c r="K3" s="167"/>
      <c r="L3" s="168"/>
    </row>
    <row r="4" spans="2:12" ht="12.75">
      <c r="B4" s="169" t="s">
        <v>45</v>
      </c>
      <c r="C4" s="170"/>
      <c r="D4" s="170"/>
      <c r="E4" s="170"/>
      <c r="F4" s="170"/>
      <c r="G4" s="170"/>
      <c r="H4" s="170"/>
      <c r="I4" s="170"/>
      <c r="J4" s="170"/>
      <c r="K4" s="170"/>
      <c r="L4" s="171"/>
    </row>
    <row r="5" spans="2:12" ht="16.5" thickBot="1">
      <c r="B5" s="8"/>
      <c r="C5" s="9"/>
      <c r="D5" s="9"/>
      <c r="E5" s="9"/>
      <c r="F5" s="9"/>
      <c r="G5" s="9"/>
      <c r="H5" s="9"/>
      <c r="I5" s="9"/>
      <c r="J5" s="9"/>
      <c r="K5" s="9"/>
      <c r="L5" s="10"/>
    </row>
    <row r="6" spans="2:12" ht="16.5" thickBo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2:12" ht="15.75">
      <c r="B7" s="13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2:12" ht="15.75">
      <c r="B8" s="16" t="s">
        <v>29</v>
      </c>
      <c r="C8" s="137"/>
      <c r="D8" s="137"/>
      <c r="E8" s="137"/>
      <c r="F8" s="137"/>
      <c r="G8" s="137"/>
      <c r="H8" s="137"/>
      <c r="I8" s="137"/>
      <c r="J8" s="137"/>
      <c r="K8" s="137"/>
      <c r="L8" s="138"/>
    </row>
    <row r="9" spans="2:12" ht="15">
      <c r="B9" s="16" t="s">
        <v>25</v>
      </c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2:12" ht="15">
      <c r="B10" s="16" t="s">
        <v>13</v>
      </c>
      <c r="C10" s="17"/>
      <c r="D10" s="17"/>
      <c r="E10" s="17"/>
      <c r="F10" s="17"/>
      <c r="G10" s="17"/>
      <c r="H10" s="17"/>
      <c r="I10" s="17"/>
      <c r="J10" s="17"/>
      <c r="K10" s="17"/>
      <c r="L10" s="18"/>
    </row>
    <row r="11" spans="2:12" ht="15">
      <c r="B11" s="16" t="s">
        <v>24</v>
      </c>
      <c r="C11" s="19"/>
      <c r="D11" s="19"/>
      <c r="E11" s="19"/>
      <c r="F11" s="19"/>
      <c r="G11" s="19"/>
      <c r="H11" s="19"/>
      <c r="I11" s="19"/>
      <c r="J11" s="19"/>
      <c r="K11" s="19"/>
      <c r="L11" s="20"/>
    </row>
    <row r="12" spans="2:12" ht="15.75">
      <c r="B12" s="16" t="s">
        <v>40</v>
      </c>
      <c r="C12" s="19"/>
      <c r="D12" s="19"/>
      <c r="E12" s="19"/>
      <c r="F12" s="19"/>
      <c r="G12" s="19"/>
      <c r="H12" s="19"/>
      <c r="I12" s="19"/>
      <c r="J12" s="19"/>
      <c r="K12" s="19"/>
      <c r="L12" s="20"/>
    </row>
    <row r="13" spans="2:12" ht="15">
      <c r="B13" s="16"/>
      <c r="C13" s="19"/>
      <c r="D13" s="19"/>
      <c r="E13" s="19"/>
      <c r="F13" s="19"/>
      <c r="G13" s="19"/>
      <c r="H13" s="19"/>
      <c r="I13" s="19"/>
      <c r="J13" s="19"/>
      <c r="K13" s="19"/>
      <c r="L13" s="20"/>
    </row>
    <row r="14" spans="2:12" ht="15">
      <c r="B14" s="16" t="s">
        <v>41</v>
      </c>
      <c r="C14" s="19"/>
      <c r="D14" s="19"/>
      <c r="E14" s="19"/>
      <c r="F14" s="19"/>
      <c r="G14" s="19"/>
      <c r="H14" s="19"/>
      <c r="I14" s="19"/>
      <c r="J14" s="19"/>
      <c r="K14" s="19"/>
      <c r="L14" s="20"/>
    </row>
    <row r="15" spans="2:12" ht="15.75">
      <c r="B15" s="16" t="s">
        <v>42</v>
      </c>
      <c r="C15" s="19"/>
      <c r="D15" s="19"/>
      <c r="E15" s="19"/>
      <c r="F15" s="19"/>
      <c r="G15" s="19"/>
      <c r="H15" s="19"/>
      <c r="I15" s="19"/>
      <c r="J15" s="19"/>
      <c r="K15" s="19"/>
      <c r="L15" s="20"/>
    </row>
    <row r="16" spans="2:12" ht="15">
      <c r="B16" s="16" t="s">
        <v>43</v>
      </c>
      <c r="C16" s="19"/>
      <c r="D16" s="19"/>
      <c r="E16" s="19"/>
      <c r="F16" s="19"/>
      <c r="G16" s="19"/>
      <c r="H16" s="19"/>
      <c r="I16" s="19"/>
      <c r="J16" s="19"/>
      <c r="K16" s="19"/>
      <c r="L16" s="20"/>
    </row>
    <row r="17" spans="2:12" ht="15">
      <c r="B17" s="16" t="s">
        <v>44</v>
      </c>
      <c r="C17" s="19"/>
      <c r="D17" s="19"/>
      <c r="E17" s="19"/>
      <c r="F17" s="19"/>
      <c r="G17" s="19"/>
      <c r="H17" s="19"/>
      <c r="I17" s="19"/>
      <c r="J17" s="19"/>
      <c r="K17" s="19"/>
      <c r="L17" s="20"/>
    </row>
    <row r="18" spans="2:12" ht="15">
      <c r="B18" s="16" t="s">
        <v>58</v>
      </c>
      <c r="C18" s="19"/>
      <c r="D18" s="19"/>
      <c r="E18" s="19"/>
      <c r="F18" s="19"/>
      <c r="G18" s="19"/>
      <c r="H18" s="19"/>
      <c r="I18" s="19"/>
      <c r="J18" s="19"/>
      <c r="K18" s="19"/>
      <c r="L18" s="20"/>
    </row>
    <row r="19" spans="2:12" ht="15">
      <c r="B19" s="16"/>
      <c r="C19" s="19"/>
      <c r="D19" s="19"/>
      <c r="E19" s="19"/>
      <c r="F19" s="19"/>
      <c r="G19" s="19"/>
      <c r="H19" s="19"/>
      <c r="I19" s="19"/>
      <c r="J19" s="19"/>
      <c r="K19" s="19"/>
      <c r="L19" s="20"/>
    </row>
    <row r="20" spans="2:19" ht="15.75">
      <c r="B20" s="16" t="s">
        <v>30</v>
      </c>
      <c r="C20" s="19"/>
      <c r="D20" s="19"/>
      <c r="E20" s="19"/>
      <c r="F20" s="19"/>
      <c r="G20" s="19"/>
      <c r="H20" s="19"/>
      <c r="I20" s="19"/>
      <c r="J20" s="19"/>
      <c r="K20" s="19"/>
      <c r="L20" s="20"/>
      <c r="S20" s="21"/>
    </row>
    <row r="21" spans="2:12" ht="15">
      <c r="B21" s="16" t="s">
        <v>15</v>
      </c>
      <c r="C21" s="19"/>
      <c r="D21" s="19"/>
      <c r="E21" s="19"/>
      <c r="F21" s="19"/>
      <c r="G21" s="19"/>
      <c r="H21" s="19"/>
      <c r="I21" s="19"/>
      <c r="J21" s="19"/>
      <c r="K21" s="19"/>
      <c r="L21" s="20"/>
    </row>
    <row r="22" spans="2:12" ht="15">
      <c r="B22" s="16" t="s">
        <v>26</v>
      </c>
      <c r="C22" s="19"/>
      <c r="D22" s="19"/>
      <c r="E22" s="19"/>
      <c r="F22" s="19"/>
      <c r="G22" s="19"/>
      <c r="H22" s="19"/>
      <c r="I22" s="19"/>
      <c r="J22" s="19"/>
      <c r="K22" s="19"/>
      <c r="L22" s="20"/>
    </row>
    <row r="23" spans="2:12" ht="15">
      <c r="B23" s="16" t="s">
        <v>16</v>
      </c>
      <c r="C23" s="19"/>
      <c r="D23" s="19"/>
      <c r="E23" s="19"/>
      <c r="F23" s="19"/>
      <c r="G23" s="19"/>
      <c r="H23" s="19"/>
      <c r="I23" s="19"/>
      <c r="J23" s="19"/>
      <c r="K23" s="19"/>
      <c r="L23" s="20"/>
    </row>
    <row r="24" spans="2:12" ht="15">
      <c r="B24" s="16" t="s">
        <v>59</v>
      </c>
      <c r="C24" s="19"/>
      <c r="D24" s="19"/>
      <c r="E24" s="19"/>
      <c r="F24" s="19"/>
      <c r="G24" s="19"/>
      <c r="H24" s="19"/>
      <c r="I24" s="19"/>
      <c r="J24" s="19"/>
      <c r="K24" s="19"/>
      <c r="L24" s="20"/>
    </row>
    <row r="25" spans="2:12" ht="15">
      <c r="B25" s="16"/>
      <c r="C25" s="19"/>
      <c r="D25" s="19"/>
      <c r="E25" s="19"/>
      <c r="F25" s="19"/>
      <c r="G25" s="19"/>
      <c r="H25" s="19"/>
      <c r="I25" s="19"/>
      <c r="J25" s="19"/>
      <c r="K25" s="19"/>
      <c r="L25" s="20"/>
    </row>
    <row r="26" spans="2:12" ht="15.75">
      <c r="B26" s="16" t="s">
        <v>32</v>
      </c>
      <c r="C26" s="19"/>
      <c r="D26" s="19"/>
      <c r="E26" s="19"/>
      <c r="F26" s="19"/>
      <c r="G26" s="19"/>
      <c r="H26" s="19"/>
      <c r="I26" s="19"/>
      <c r="J26" s="19"/>
      <c r="K26" s="19"/>
      <c r="L26" s="20"/>
    </row>
    <row r="27" spans="2:12" ht="15">
      <c r="B27" s="16" t="s">
        <v>57</v>
      </c>
      <c r="C27" s="19"/>
      <c r="D27" s="19"/>
      <c r="E27" s="19"/>
      <c r="F27" s="19"/>
      <c r="G27" s="19"/>
      <c r="H27" s="19"/>
      <c r="I27" s="19"/>
      <c r="J27" s="19"/>
      <c r="K27" s="19"/>
      <c r="L27" s="20"/>
    </row>
    <row r="28" spans="2:12" ht="15">
      <c r="B28" s="16" t="s">
        <v>67</v>
      </c>
      <c r="C28" s="19"/>
      <c r="D28" s="19"/>
      <c r="E28" s="19"/>
      <c r="F28" s="19"/>
      <c r="G28" s="19"/>
      <c r="H28" s="19"/>
      <c r="I28" s="19"/>
      <c r="J28" s="19"/>
      <c r="K28" s="19"/>
      <c r="L28" s="20"/>
    </row>
    <row r="29" spans="2:12" ht="15">
      <c r="B29" s="16" t="s">
        <v>33</v>
      </c>
      <c r="C29" s="19"/>
      <c r="D29" s="19"/>
      <c r="E29" s="19"/>
      <c r="F29" s="19"/>
      <c r="G29" s="19"/>
      <c r="H29" s="19"/>
      <c r="I29" s="19"/>
      <c r="J29" s="19"/>
      <c r="K29" s="19"/>
      <c r="L29" s="20"/>
    </row>
    <row r="30" spans="2:12" ht="15">
      <c r="B30" s="16" t="s">
        <v>34</v>
      </c>
      <c r="C30" s="19"/>
      <c r="D30" s="19"/>
      <c r="E30" s="19"/>
      <c r="F30" s="19"/>
      <c r="G30" s="19"/>
      <c r="H30" s="19"/>
      <c r="I30" s="19"/>
      <c r="J30" s="19"/>
      <c r="K30" s="19"/>
      <c r="L30" s="20"/>
    </row>
    <row r="31" spans="2:12" ht="15">
      <c r="B31" s="16" t="s">
        <v>35</v>
      </c>
      <c r="C31" s="19"/>
      <c r="D31" s="19"/>
      <c r="E31" s="19"/>
      <c r="F31" s="19"/>
      <c r="G31" s="19"/>
      <c r="H31" s="19"/>
      <c r="I31" s="19"/>
      <c r="J31" s="19"/>
      <c r="K31" s="19"/>
      <c r="L31" s="20"/>
    </row>
    <row r="32" spans="2:12" ht="15">
      <c r="B32" s="16" t="s">
        <v>36</v>
      </c>
      <c r="C32" s="19"/>
      <c r="D32" s="19"/>
      <c r="E32" s="19"/>
      <c r="F32" s="19"/>
      <c r="G32" s="19"/>
      <c r="H32" s="19"/>
      <c r="I32" s="19"/>
      <c r="J32" s="19"/>
      <c r="K32" s="19"/>
      <c r="L32" s="20"/>
    </row>
    <row r="33" spans="2:12" ht="15">
      <c r="B33" s="16" t="s">
        <v>60</v>
      </c>
      <c r="C33" s="19"/>
      <c r="D33" s="19"/>
      <c r="E33" s="19"/>
      <c r="F33" s="19"/>
      <c r="G33" s="19"/>
      <c r="H33" s="19"/>
      <c r="I33" s="19"/>
      <c r="J33" s="19"/>
      <c r="K33" s="19"/>
      <c r="L33" s="20"/>
    </row>
    <row r="34" spans="2:12" ht="15"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20"/>
    </row>
    <row r="35" spans="2:12" ht="15">
      <c r="B35" s="16" t="s">
        <v>37</v>
      </c>
      <c r="C35" s="19"/>
      <c r="D35" s="19"/>
      <c r="E35" s="19"/>
      <c r="F35" s="19"/>
      <c r="G35" s="19"/>
      <c r="H35" s="19"/>
      <c r="I35" s="19"/>
      <c r="J35" s="19"/>
      <c r="K35" s="19"/>
      <c r="L35" s="20"/>
    </row>
    <row r="36" spans="2:12" ht="15">
      <c r="B36" s="16" t="s">
        <v>38</v>
      </c>
      <c r="C36" s="19"/>
      <c r="D36" s="19"/>
      <c r="E36" s="19"/>
      <c r="F36" s="19"/>
      <c r="G36" s="19"/>
      <c r="H36" s="19"/>
      <c r="I36" s="19"/>
      <c r="J36" s="19"/>
      <c r="K36" s="19"/>
      <c r="L36" s="20"/>
    </row>
    <row r="37" spans="2:12" ht="15">
      <c r="B37" s="16"/>
      <c r="C37" s="19"/>
      <c r="D37" s="19"/>
      <c r="E37" s="19"/>
      <c r="F37" s="19"/>
      <c r="G37" s="19"/>
      <c r="H37" s="19"/>
      <c r="I37" s="19"/>
      <c r="J37" s="19"/>
      <c r="K37" s="19"/>
      <c r="L37" s="20"/>
    </row>
    <row r="38" spans="2:12" ht="15">
      <c r="B38" s="22" t="s">
        <v>39</v>
      </c>
      <c r="C38" s="19"/>
      <c r="D38" s="19"/>
      <c r="E38" s="19"/>
      <c r="F38" s="19"/>
      <c r="G38" s="19"/>
      <c r="H38" s="19"/>
      <c r="I38" s="19"/>
      <c r="J38" s="19"/>
      <c r="K38" s="19"/>
      <c r="L38" s="20"/>
    </row>
    <row r="39" spans="2:12" ht="15">
      <c r="B39" s="16" t="s">
        <v>18</v>
      </c>
      <c r="C39" s="19"/>
      <c r="D39" s="19"/>
      <c r="E39" s="19"/>
      <c r="F39" s="19"/>
      <c r="G39" s="19"/>
      <c r="H39" s="19"/>
      <c r="I39" s="19"/>
      <c r="J39" s="19"/>
      <c r="K39" s="19"/>
      <c r="L39" s="20"/>
    </row>
    <row r="40" spans="2:12" ht="15">
      <c r="B40" s="16" t="s">
        <v>17</v>
      </c>
      <c r="C40" s="19"/>
      <c r="D40" s="19"/>
      <c r="E40" s="19"/>
      <c r="F40" s="19"/>
      <c r="G40" s="19"/>
      <c r="H40" s="19"/>
      <c r="I40" s="19"/>
      <c r="J40" s="19"/>
      <c r="K40" s="19"/>
      <c r="L40" s="20"/>
    </row>
    <row r="41" spans="2:12" ht="15">
      <c r="B41" s="16"/>
      <c r="C41" s="19"/>
      <c r="D41" s="19"/>
      <c r="E41" s="19"/>
      <c r="F41" s="19"/>
      <c r="G41" s="19"/>
      <c r="H41" s="19"/>
      <c r="I41" s="19"/>
      <c r="J41" s="19"/>
      <c r="K41" s="19"/>
      <c r="L41" s="20"/>
    </row>
    <row r="42" spans="2:12" ht="15">
      <c r="B42" s="124" t="s">
        <v>20</v>
      </c>
      <c r="C42" s="19"/>
      <c r="D42" s="19"/>
      <c r="E42" s="19"/>
      <c r="F42" s="19"/>
      <c r="G42" s="19"/>
      <c r="H42" s="19"/>
      <c r="I42" s="19"/>
      <c r="J42" s="19"/>
      <c r="K42" s="19"/>
      <c r="L42" s="20"/>
    </row>
    <row r="43" spans="2:12" ht="15">
      <c r="B43" s="16" t="s">
        <v>21</v>
      </c>
      <c r="C43" s="123" t="s">
        <v>22</v>
      </c>
      <c r="D43" s="19"/>
      <c r="E43" s="19"/>
      <c r="F43" s="19"/>
      <c r="G43" s="19"/>
      <c r="H43" s="116"/>
      <c r="I43" s="19"/>
      <c r="J43" s="19"/>
      <c r="K43" s="19"/>
      <c r="L43" s="20"/>
    </row>
    <row r="44" spans="2:13" s="27" customFormat="1" ht="12.75">
      <c r="B44" s="23"/>
      <c r="C44" s="122"/>
      <c r="D44" s="24"/>
      <c r="E44" s="24"/>
      <c r="F44" s="24"/>
      <c r="G44" s="24"/>
      <c r="H44" s="122"/>
      <c r="I44" s="24"/>
      <c r="J44" s="24"/>
      <c r="K44" s="24"/>
      <c r="L44" s="25"/>
      <c r="M44" s="26"/>
    </row>
    <row r="45" spans="2:13" s="27" customFormat="1" ht="15">
      <c r="B45" s="28" t="s">
        <v>61</v>
      </c>
      <c r="C45" s="24"/>
      <c r="D45" s="24"/>
      <c r="E45" s="24"/>
      <c r="F45" s="24"/>
      <c r="G45" s="24"/>
      <c r="H45" s="24"/>
      <c r="I45" s="24"/>
      <c r="J45" s="24"/>
      <c r="K45" s="29" t="s">
        <v>8</v>
      </c>
      <c r="L45" s="25"/>
      <c r="M45" s="26"/>
    </row>
    <row r="46" spans="2:13" s="27" customFormat="1" ht="12.75">
      <c r="B46" s="129" t="s">
        <v>27</v>
      </c>
      <c r="C46" s="24"/>
      <c r="D46" s="24"/>
      <c r="E46" s="24"/>
      <c r="F46" s="24"/>
      <c r="G46" s="24"/>
      <c r="H46" s="24"/>
      <c r="I46" s="24"/>
      <c r="J46" s="24"/>
      <c r="K46" s="29"/>
      <c r="L46" s="25"/>
      <c r="M46" s="26"/>
    </row>
    <row r="47" spans="2:13" s="27" customFormat="1" ht="12.75">
      <c r="B47" s="129" t="s">
        <v>23</v>
      </c>
      <c r="C47" s="24"/>
      <c r="D47" s="24"/>
      <c r="E47" s="24"/>
      <c r="F47" s="24"/>
      <c r="G47" s="24"/>
      <c r="H47" s="24"/>
      <c r="I47" s="24"/>
      <c r="J47" s="24"/>
      <c r="K47" s="29"/>
      <c r="L47" s="25"/>
      <c r="M47" s="26"/>
    </row>
    <row r="48" spans="2:13" s="27" customFormat="1" ht="13.5" thickBot="1">
      <c r="B48" s="130"/>
      <c r="C48" s="30"/>
      <c r="D48" s="30"/>
      <c r="E48" s="30"/>
      <c r="F48" s="30"/>
      <c r="G48" s="30"/>
      <c r="H48" s="30"/>
      <c r="I48" s="30"/>
      <c r="J48" s="30"/>
      <c r="K48" s="30"/>
      <c r="L48" s="31"/>
      <c r="M48" s="26"/>
    </row>
    <row r="49" ht="15.75" thickBot="1">
      <c r="B49" s="32"/>
    </row>
    <row r="50" spans="2:12" ht="15"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5"/>
    </row>
    <row r="51" spans="2:12" ht="15.75">
      <c r="B51" s="36"/>
      <c r="C51" s="19"/>
      <c r="D51" s="19"/>
      <c r="E51" s="19"/>
      <c r="F51" s="19"/>
      <c r="G51" s="37" t="s">
        <v>4</v>
      </c>
      <c r="H51" s="1">
        <v>2022</v>
      </c>
      <c r="I51" s="19"/>
      <c r="J51" s="19"/>
      <c r="K51" s="19"/>
      <c r="L51" s="20"/>
    </row>
    <row r="52" spans="2:12" ht="15.75">
      <c r="B52" s="36"/>
      <c r="C52" s="19"/>
      <c r="D52" s="19"/>
      <c r="E52" s="19"/>
      <c r="F52" s="19"/>
      <c r="G52" s="37" t="s">
        <v>6</v>
      </c>
      <c r="H52" s="121">
        <v>55000</v>
      </c>
      <c r="I52" s="19"/>
      <c r="J52" s="19"/>
      <c r="K52" s="19"/>
      <c r="L52" s="20"/>
    </row>
    <row r="53" spans="2:16" ht="15.75">
      <c r="B53" s="38"/>
      <c r="C53" s="39"/>
      <c r="D53" s="39"/>
      <c r="E53" s="19"/>
      <c r="F53" s="19"/>
      <c r="G53" s="40" t="s">
        <v>9</v>
      </c>
      <c r="H53" s="2">
        <v>2</v>
      </c>
      <c r="I53" s="41" t="s">
        <v>10</v>
      </c>
      <c r="J53" s="39"/>
      <c r="K53" s="39"/>
      <c r="L53" s="42"/>
      <c r="N53" s="21"/>
      <c r="O53" s="21"/>
      <c r="P53" s="21"/>
    </row>
    <row r="54" spans="2:16" ht="15.75">
      <c r="B54" s="43"/>
      <c r="C54" s="44"/>
      <c r="D54" s="44"/>
      <c r="E54" s="37" t="s">
        <v>5</v>
      </c>
      <c r="F54" s="45">
        <v>2022</v>
      </c>
      <c r="G54" s="37" t="s">
        <v>6</v>
      </c>
      <c r="H54" s="1">
        <v>71</v>
      </c>
      <c r="I54" s="44"/>
      <c r="J54" s="44"/>
      <c r="K54" s="44"/>
      <c r="L54" s="46"/>
      <c r="N54" s="21"/>
      <c r="O54" s="21"/>
      <c r="P54" s="21"/>
    </row>
    <row r="55" spans="2:16" ht="13.5" thickBot="1">
      <c r="B55" s="47"/>
      <c r="C55" s="48"/>
      <c r="D55" s="49"/>
      <c r="E55" s="50"/>
      <c r="F55" s="51"/>
      <c r="G55" s="51"/>
      <c r="H55" s="52"/>
      <c r="I55" s="51"/>
      <c r="J55" s="51"/>
      <c r="K55" s="50"/>
      <c r="L55" s="53"/>
      <c r="N55" s="21"/>
      <c r="O55" s="21"/>
      <c r="P55" s="21"/>
    </row>
    <row r="56" spans="2:16" ht="12.75">
      <c r="B56" s="54"/>
      <c r="D56" s="21"/>
      <c r="E56" s="54"/>
      <c r="F56" s="55"/>
      <c r="G56" s="56"/>
      <c r="H56" s="57"/>
      <c r="I56" s="58"/>
      <c r="J56" s="58"/>
      <c r="K56" s="54"/>
      <c r="L56" s="21"/>
      <c r="N56" s="21"/>
      <c r="O56" s="21"/>
      <c r="P56" s="21"/>
    </row>
    <row r="57" spans="2:16" ht="13.5" thickBot="1">
      <c r="B57" s="54"/>
      <c r="C57" s="59"/>
      <c r="D57" s="59"/>
      <c r="E57" s="54"/>
      <c r="F57" s="54"/>
      <c r="G57" s="54"/>
      <c r="H57" s="54"/>
      <c r="I57" s="54"/>
      <c r="J57" s="54"/>
      <c r="K57" s="54"/>
      <c r="L57" s="21"/>
      <c r="N57" s="21"/>
      <c r="O57" s="21"/>
      <c r="P57" s="21"/>
    </row>
    <row r="58" spans="2:12" ht="51.75" customHeight="1">
      <c r="B58" s="60" t="s">
        <v>0</v>
      </c>
      <c r="C58" s="61" t="s">
        <v>1</v>
      </c>
      <c r="D58" s="62"/>
      <c r="E58" s="159" t="s">
        <v>7</v>
      </c>
      <c r="F58" s="160"/>
      <c r="G58" s="63"/>
      <c r="H58" s="159" t="s">
        <v>11</v>
      </c>
      <c r="I58" s="164"/>
      <c r="J58" s="63"/>
      <c r="K58" s="159" t="s">
        <v>12</v>
      </c>
      <c r="L58" s="165"/>
    </row>
    <row r="59" spans="2:12" ht="13.5" customHeight="1">
      <c r="B59" s="64"/>
      <c r="C59" s="65"/>
      <c r="D59" s="66"/>
      <c r="E59" s="67" t="s">
        <v>2</v>
      </c>
      <c r="F59" s="67" t="s">
        <v>3</v>
      </c>
      <c r="G59" s="68"/>
      <c r="H59" s="67" t="s">
        <v>2</v>
      </c>
      <c r="I59" s="67" t="s">
        <v>3</v>
      </c>
      <c r="J59" s="68"/>
      <c r="K59" s="67" t="s">
        <v>2</v>
      </c>
      <c r="L59" s="69" t="s">
        <v>3</v>
      </c>
    </row>
    <row r="60" spans="2:13" ht="12.75">
      <c r="B60" s="70">
        <f>H51+1</f>
        <v>2023</v>
      </c>
      <c r="C60" s="71">
        <f>H54+1</f>
        <v>72</v>
      </c>
      <c r="D60" s="72"/>
      <c r="E60" s="73">
        <f>H52+(H52*$H$53%)</f>
        <v>56100</v>
      </c>
      <c r="F60" s="73">
        <f>E60/12</f>
        <v>4675</v>
      </c>
      <c r="G60" s="74"/>
      <c r="H60" s="73">
        <f>(E60-270)/0.9</f>
        <v>62033.33333333333</v>
      </c>
      <c r="I60" s="73">
        <f>H60/12</f>
        <v>5169.444444444444</v>
      </c>
      <c r="J60" s="74"/>
      <c r="K60" s="73">
        <f aca="true" t="shared" si="0" ref="K60:K99">0.55*H60</f>
        <v>34118.333333333336</v>
      </c>
      <c r="L60" s="75">
        <f aca="true" t="shared" si="1" ref="L60:L66">K60/12</f>
        <v>2843.194444444445</v>
      </c>
      <c r="M60" s="21"/>
    </row>
    <row r="61" spans="2:13" ht="12.75">
      <c r="B61" s="70">
        <f>B60+1</f>
        <v>2024</v>
      </c>
      <c r="C61" s="71">
        <f>C60+1</f>
        <v>73</v>
      </c>
      <c r="D61" s="72"/>
      <c r="E61" s="73">
        <f aca="true" t="shared" si="2" ref="E61:E99">E60+(E60*$H$53%)</f>
        <v>57222</v>
      </c>
      <c r="F61" s="73">
        <f aca="true" t="shared" si="3" ref="F61:F99">E61/12</f>
        <v>4768.5</v>
      </c>
      <c r="G61" s="74"/>
      <c r="H61" s="73">
        <f aca="true" t="shared" si="4" ref="H61:H99">(E61-270)/0.9</f>
        <v>63280</v>
      </c>
      <c r="I61" s="73">
        <f aca="true" t="shared" si="5" ref="I61:I99">H61/12</f>
        <v>5273.333333333333</v>
      </c>
      <c r="J61" s="74"/>
      <c r="K61" s="73">
        <f t="shared" si="0"/>
        <v>34804</v>
      </c>
      <c r="L61" s="75">
        <f t="shared" si="1"/>
        <v>2900.3333333333335</v>
      </c>
      <c r="M61" s="21"/>
    </row>
    <row r="62" spans="2:13" ht="12.75">
      <c r="B62" s="70">
        <f aca="true" t="shared" si="6" ref="B62:B99">B61+1</f>
        <v>2025</v>
      </c>
      <c r="C62" s="71">
        <f aca="true" t="shared" si="7" ref="C62:C99">C61+1</f>
        <v>74</v>
      </c>
      <c r="D62" s="72"/>
      <c r="E62" s="73">
        <f t="shared" si="2"/>
        <v>58366.44</v>
      </c>
      <c r="F62" s="73">
        <f t="shared" si="3"/>
        <v>4863.87</v>
      </c>
      <c r="G62" s="74"/>
      <c r="H62" s="73">
        <f t="shared" si="4"/>
        <v>64551.6</v>
      </c>
      <c r="I62" s="73">
        <f t="shared" si="5"/>
        <v>5379.3</v>
      </c>
      <c r="J62" s="74"/>
      <c r="K62" s="73">
        <f t="shared" si="0"/>
        <v>35503.380000000005</v>
      </c>
      <c r="L62" s="75">
        <f t="shared" si="1"/>
        <v>2958.6150000000002</v>
      </c>
      <c r="M62" s="21"/>
    </row>
    <row r="63" spans="2:12" ht="12.75">
      <c r="B63" s="70">
        <f t="shared" si="6"/>
        <v>2026</v>
      </c>
      <c r="C63" s="71">
        <f t="shared" si="7"/>
        <v>75</v>
      </c>
      <c r="D63" s="72"/>
      <c r="E63" s="73">
        <f t="shared" si="2"/>
        <v>59533.768800000005</v>
      </c>
      <c r="F63" s="73">
        <f t="shared" si="3"/>
        <v>4961.147400000001</v>
      </c>
      <c r="G63" s="74"/>
      <c r="H63" s="73">
        <f t="shared" si="4"/>
        <v>65848.632</v>
      </c>
      <c r="I63" s="73">
        <f t="shared" si="5"/>
        <v>5487.3859999999995</v>
      </c>
      <c r="J63" s="74"/>
      <c r="K63" s="73">
        <f t="shared" si="0"/>
        <v>36216.7476</v>
      </c>
      <c r="L63" s="75">
        <f t="shared" si="1"/>
        <v>3018.0623</v>
      </c>
    </row>
    <row r="64" spans="2:12" ht="12.75">
      <c r="B64" s="70">
        <f t="shared" si="6"/>
        <v>2027</v>
      </c>
      <c r="C64" s="71">
        <f t="shared" si="7"/>
        <v>76</v>
      </c>
      <c r="D64" s="72"/>
      <c r="E64" s="73">
        <f t="shared" si="2"/>
        <v>60724.444176000005</v>
      </c>
      <c r="F64" s="73">
        <f t="shared" si="3"/>
        <v>5060.370348</v>
      </c>
      <c r="G64" s="74"/>
      <c r="H64" s="73">
        <f t="shared" si="4"/>
        <v>67171.60464</v>
      </c>
      <c r="I64" s="73">
        <f t="shared" si="5"/>
        <v>5597.633720000001</v>
      </c>
      <c r="J64" s="74"/>
      <c r="K64" s="73">
        <f t="shared" si="0"/>
        <v>36944.382552</v>
      </c>
      <c r="L64" s="75">
        <f t="shared" si="1"/>
        <v>3078.698546</v>
      </c>
    </row>
    <row r="65" spans="2:12" ht="12.75">
      <c r="B65" s="70">
        <f t="shared" si="6"/>
        <v>2028</v>
      </c>
      <c r="C65" s="71">
        <f t="shared" si="7"/>
        <v>77</v>
      </c>
      <c r="D65" s="72"/>
      <c r="E65" s="73">
        <f t="shared" si="2"/>
        <v>61938.93305952001</v>
      </c>
      <c r="F65" s="73">
        <f t="shared" si="3"/>
        <v>5161.577754960001</v>
      </c>
      <c r="G65" s="74"/>
      <c r="H65" s="73">
        <f t="shared" si="4"/>
        <v>68521.03673280001</v>
      </c>
      <c r="I65" s="73">
        <f t="shared" si="5"/>
        <v>5710.086394400001</v>
      </c>
      <c r="J65" s="74"/>
      <c r="K65" s="73">
        <f t="shared" si="0"/>
        <v>37686.57020304001</v>
      </c>
      <c r="L65" s="75">
        <f t="shared" si="1"/>
        <v>3140.5475169200013</v>
      </c>
    </row>
    <row r="66" spans="2:12" ht="12.75">
      <c r="B66" s="70">
        <f t="shared" si="6"/>
        <v>2029</v>
      </c>
      <c r="C66" s="71">
        <f t="shared" si="7"/>
        <v>78</v>
      </c>
      <c r="D66" s="72"/>
      <c r="E66" s="73">
        <f t="shared" si="2"/>
        <v>63177.71172071041</v>
      </c>
      <c r="F66" s="73">
        <f t="shared" si="3"/>
        <v>5264.8093100592005</v>
      </c>
      <c r="G66" s="74"/>
      <c r="H66" s="73">
        <f t="shared" si="4"/>
        <v>69897.45746745601</v>
      </c>
      <c r="I66" s="73">
        <f t="shared" si="5"/>
        <v>5824.788122288001</v>
      </c>
      <c r="J66" s="74"/>
      <c r="K66" s="73">
        <f t="shared" si="0"/>
        <v>38443.60160710081</v>
      </c>
      <c r="L66" s="75">
        <f t="shared" si="1"/>
        <v>3203.633467258401</v>
      </c>
    </row>
    <row r="67" spans="2:12" ht="12.75">
      <c r="B67" s="70">
        <f t="shared" si="6"/>
        <v>2030</v>
      </c>
      <c r="C67" s="71">
        <f t="shared" si="7"/>
        <v>79</v>
      </c>
      <c r="D67" s="72"/>
      <c r="E67" s="73">
        <f t="shared" si="2"/>
        <v>64441.26595512462</v>
      </c>
      <c r="F67" s="73">
        <f t="shared" si="3"/>
        <v>5370.105496260385</v>
      </c>
      <c r="G67" s="74"/>
      <c r="H67" s="73">
        <f t="shared" si="4"/>
        <v>71301.40661680514</v>
      </c>
      <c r="I67" s="73">
        <f t="shared" si="5"/>
        <v>5941.783884733762</v>
      </c>
      <c r="J67" s="74"/>
      <c r="K67" s="73">
        <f t="shared" si="0"/>
        <v>39215.77363924283</v>
      </c>
      <c r="L67" s="75">
        <f aca="true" t="shared" si="8" ref="L67:L99">K67/12</f>
        <v>3267.9811366035688</v>
      </c>
    </row>
    <row r="68" spans="2:12" ht="12.75">
      <c r="B68" s="70">
        <f>B67+1</f>
        <v>2031</v>
      </c>
      <c r="C68" s="71">
        <f>C67+1</f>
        <v>80</v>
      </c>
      <c r="D68" s="72"/>
      <c r="E68" s="73">
        <f t="shared" si="2"/>
        <v>65730.0912742271</v>
      </c>
      <c r="F68" s="73">
        <f t="shared" si="3"/>
        <v>5477.507606185592</v>
      </c>
      <c r="G68" s="74"/>
      <c r="H68" s="76">
        <f t="shared" si="4"/>
        <v>72733.43474914122</v>
      </c>
      <c r="I68" s="73">
        <f t="shared" si="5"/>
        <v>6061.119562428435</v>
      </c>
      <c r="J68" s="74"/>
      <c r="K68" s="76">
        <f t="shared" si="0"/>
        <v>40003.389112027675</v>
      </c>
      <c r="L68" s="77">
        <f t="shared" si="8"/>
        <v>3333.6157593356397</v>
      </c>
    </row>
    <row r="69" spans="2:12" ht="12.75">
      <c r="B69" s="70">
        <f t="shared" si="6"/>
        <v>2032</v>
      </c>
      <c r="C69" s="71">
        <f t="shared" si="7"/>
        <v>81</v>
      </c>
      <c r="D69" s="72"/>
      <c r="E69" s="73">
        <f t="shared" si="2"/>
        <v>67044.69309971164</v>
      </c>
      <c r="F69" s="73">
        <f t="shared" si="3"/>
        <v>5587.057758309304</v>
      </c>
      <c r="G69" s="74"/>
      <c r="H69" s="76">
        <f t="shared" si="4"/>
        <v>74194.10344412405</v>
      </c>
      <c r="I69" s="73">
        <f t="shared" si="5"/>
        <v>6182.841953677004</v>
      </c>
      <c r="J69" s="74"/>
      <c r="K69" s="76">
        <f t="shared" si="0"/>
        <v>40806.75689426823</v>
      </c>
      <c r="L69" s="77">
        <f t="shared" si="8"/>
        <v>3400.563074522352</v>
      </c>
    </row>
    <row r="70" spans="2:12" ht="12.75">
      <c r="B70" s="70">
        <f t="shared" si="6"/>
        <v>2033</v>
      </c>
      <c r="C70" s="71">
        <f t="shared" si="7"/>
        <v>82</v>
      </c>
      <c r="D70" s="72"/>
      <c r="E70" s="73">
        <f t="shared" si="2"/>
        <v>68385.58696170588</v>
      </c>
      <c r="F70" s="73">
        <f t="shared" si="3"/>
        <v>5698.79891347549</v>
      </c>
      <c r="G70" s="74"/>
      <c r="H70" s="76">
        <f t="shared" si="4"/>
        <v>75683.98551300653</v>
      </c>
      <c r="I70" s="73">
        <f t="shared" si="5"/>
        <v>6306.9987927505435</v>
      </c>
      <c r="J70" s="74"/>
      <c r="K70" s="76">
        <f t="shared" si="0"/>
        <v>41626.192032153594</v>
      </c>
      <c r="L70" s="77">
        <f t="shared" si="8"/>
        <v>3468.8493360127995</v>
      </c>
    </row>
    <row r="71" spans="2:12" ht="12.75">
      <c r="B71" s="70">
        <f t="shared" si="6"/>
        <v>2034</v>
      </c>
      <c r="C71" s="71">
        <f t="shared" si="7"/>
        <v>83</v>
      </c>
      <c r="D71" s="72"/>
      <c r="E71" s="73">
        <f t="shared" si="2"/>
        <v>69753.29870094</v>
      </c>
      <c r="F71" s="73">
        <f t="shared" si="3"/>
        <v>5812.774891745</v>
      </c>
      <c r="G71" s="74"/>
      <c r="H71" s="76">
        <f t="shared" si="4"/>
        <v>77203.66522326665</v>
      </c>
      <c r="I71" s="73">
        <f t="shared" si="5"/>
        <v>6433.638768605554</v>
      </c>
      <c r="J71" s="74"/>
      <c r="K71" s="76">
        <f t="shared" si="0"/>
        <v>42462.01587279666</v>
      </c>
      <c r="L71" s="77">
        <f t="shared" si="8"/>
        <v>3538.501322733055</v>
      </c>
    </row>
    <row r="72" spans="2:12" ht="12.75">
      <c r="B72" s="70">
        <f t="shared" si="6"/>
        <v>2035</v>
      </c>
      <c r="C72" s="71">
        <f t="shared" si="7"/>
        <v>84</v>
      </c>
      <c r="D72" s="72"/>
      <c r="E72" s="73">
        <f t="shared" si="2"/>
        <v>71148.3646749588</v>
      </c>
      <c r="F72" s="73">
        <f t="shared" si="3"/>
        <v>5929.0303895799</v>
      </c>
      <c r="G72" s="74"/>
      <c r="H72" s="76">
        <f t="shared" si="4"/>
        <v>78753.73852773198</v>
      </c>
      <c r="I72" s="73">
        <f t="shared" si="5"/>
        <v>6562.811543977666</v>
      </c>
      <c r="J72" s="74"/>
      <c r="K72" s="76">
        <f t="shared" si="0"/>
        <v>43314.556190252595</v>
      </c>
      <c r="L72" s="77">
        <f t="shared" si="8"/>
        <v>3609.5463491877163</v>
      </c>
    </row>
    <row r="73" spans="2:12" ht="12.75">
      <c r="B73" s="70">
        <f t="shared" si="6"/>
        <v>2036</v>
      </c>
      <c r="C73" s="71">
        <f t="shared" si="7"/>
        <v>85</v>
      </c>
      <c r="D73" s="72"/>
      <c r="E73" s="73">
        <f t="shared" si="2"/>
        <v>72571.33196845796</v>
      </c>
      <c r="F73" s="73">
        <f t="shared" si="3"/>
        <v>6047.6109973714965</v>
      </c>
      <c r="G73" s="74"/>
      <c r="H73" s="76">
        <f t="shared" si="4"/>
        <v>80334.81329828662</v>
      </c>
      <c r="I73" s="73">
        <f t="shared" si="5"/>
        <v>6694.567774857219</v>
      </c>
      <c r="J73" s="74"/>
      <c r="K73" s="76">
        <f t="shared" si="0"/>
        <v>44184.14731405765</v>
      </c>
      <c r="L73" s="77">
        <f t="shared" si="8"/>
        <v>3682.0122761714706</v>
      </c>
    </row>
    <row r="74" spans="2:12" ht="12.75">
      <c r="B74" s="70">
        <f t="shared" si="6"/>
        <v>2037</v>
      </c>
      <c r="C74" s="71">
        <f t="shared" si="7"/>
        <v>86</v>
      </c>
      <c r="D74" s="72"/>
      <c r="E74" s="73">
        <f t="shared" si="2"/>
        <v>74022.75860782713</v>
      </c>
      <c r="F74" s="73">
        <f t="shared" si="3"/>
        <v>6168.563217318927</v>
      </c>
      <c r="G74" s="74"/>
      <c r="H74" s="76">
        <f t="shared" si="4"/>
        <v>81947.50956425237</v>
      </c>
      <c r="I74" s="73">
        <f t="shared" si="5"/>
        <v>6828.959130354364</v>
      </c>
      <c r="J74" s="74"/>
      <c r="K74" s="76">
        <f t="shared" si="0"/>
        <v>45071.1302603388</v>
      </c>
      <c r="L74" s="77">
        <f t="shared" si="8"/>
        <v>3755.9275216949004</v>
      </c>
    </row>
    <row r="75" spans="2:12" ht="12.75">
      <c r="B75" s="70">
        <f t="shared" si="6"/>
        <v>2038</v>
      </c>
      <c r="C75" s="71">
        <f t="shared" si="7"/>
        <v>87</v>
      </c>
      <c r="D75" s="72"/>
      <c r="E75" s="73">
        <f t="shared" si="2"/>
        <v>75503.21377998366</v>
      </c>
      <c r="F75" s="73">
        <f t="shared" si="3"/>
        <v>6291.934481665306</v>
      </c>
      <c r="G75" s="74"/>
      <c r="H75" s="76">
        <f t="shared" si="4"/>
        <v>83592.4597555374</v>
      </c>
      <c r="I75" s="73">
        <f t="shared" si="5"/>
        <v>6966.03831296145</v>
      </c>
      <c r="J75" s="74"/>
      <c r="K75" s="76">
        <f t="shared" si="0"/>
        <v>45975.852865545574</v>
      </c>
      <c r="L75" s="77">
        <f t="shared" si="8"/>
        <v>3831.321072128798</v>
      </c>
    </row>
    <row r="76" spans="2:12" ht="12.75">
      <c r="B76" s="70">
        <f t="shared" si="6"/>
        <v>2039</v>
      </c>
      <c r="C76" s="71">
        <f t="shared" si="7"/>
        <v>88</v>
      </c>
      <c r="D76" s="72"/>
      <c r="E76" s="73">
        <f t="shared" si="2"/>
        <v>77013.27805558333</v>
      </c>
      <c r="F76" s="73">
        <f t="shared" si="3"/>
        <v>6417.773171298611</v>
      </c>
      <c r="G76" s="74"/>
      <c r="H76" s="76">
        <f t="shared" si="4"/>
        <v>85270.30895064815</v>
      </c>
      <c r="I76" s="73">
        <f t="shared" si="5"/>
        <v>7105.859079220679</v>
      </c>
      <c r="J76" s="74"/>
      <c r="K76" s="76">
        <f t="shared" si="0"/>
        <v>46898.66992285648</v>
      </c>
      <c r="L76" s="77">
        <f t="shared" si="8"/>
        <v>3908.2224935713734</v>
      </c>
    </row>
    <row r="77" spans="2:12" ht="12.75">
      <c r="B77" s="70">
        <f t="shared" si="6"/>
        <v>2040</v>
      </c>
      <c r="C77" s="71">
        <f t="shared" si="7"/>
        <v>89</v>
      </c>
      <c r="D77" s="72"/>
      <c r="E77" s="73">
        <f t="shared" si="2"/>
        <v>78553.543616695</v>
      </c>
      <c r="F77" s="73">
        <f t="shared" si="3"/>
        <v>6546.128634724583</v>
      </c>
      <c r="G77" s="74"/>
      <c r="H77" s="76">
        <f t="shared" si="4"/>
        <v>86981.7151296611</v>
      </c>
      <c r="I77" s="73">
        <f t="shared" si="5"/>
        <v>7248.476260805091</v>
      </c>
      <c r="J77" s="74"/>
      <c r="K77" s="76">
        <f t="shared" si="0"/>
        <v>47839.94332131361</v>
      </c>
      <c r="L77" s="77">
        <f t="shared" si="8"/>
        <v>3986.6619434428007</v>
      </c>
    </row>
    <row r="78" spans="2:12" ht="12.75">
      <c r="B78" s="70">
        <f t="shared" si="6"/>
        <v>2041</v>
      </c>
      <c r="C78" s="71">
        <f t="shared" si="7"/>
        <v>90</v>
      </c>
      <c r="D78" s="72"/>
      <c r="E78" s="73">
        <f t="shared" si="2"/>
        <v>80124.6144890289</v>
      </c>
      <c r="F78" s="73">
        <f t="shared" si="3"/>
        <v>6677.051207419075</v>
      </c>
      <c r="G78" s="74"/>
      <c r="H78" s="76">
        <f t="shared" si="4"/>
        <v>88727.34943225433</v>
      </c>
      <c r="I78" s="73">
        <f t="shared" si="5"/>
        <v>7393.945786021194</v>
      </c>
      <c r="J78" s="74"/>
      <c r="K78" s="76">
        <f t="shared" si="0"/>
        <v>48800.042187739884</v>
      </c>
      <c r="L78" s="77">
        <f t="shared" si="8"/>
        <v>4066.670182311657</v>
      </c>
    </row>
    <row r="79" spans="2:12" ht="12.75">
      <c r="B79" s="70">
        <f t="shared" si="6"/>
        <v>2042</v>
      </c>
      <c r="C79" s="71">
        <f t="shared" si="7"/>
        <v>91</v>
      </c>
      <c r="D79" s="72"/>
      <c r="E79" s="73">
        <f t="shared" si="2"/>
        <v>81727.10677880948</v>
      </c>
      <c r="F79" s="73">
        <f t="shared" si="3"/>
        <v>6810.592231567457</v>
      </c>
      <c r="G79" s="74"/>
      <c r="H79" s="76">
        <f t="shared" si="4"/>
        <v>90507.89642089941</v>
      </c>
      <c r="I79" s="73">
        <f t="shared" si="5"/>
        <v>7542.324701741618</v>
      </c>
      <c r="J79" s="74"/>
      <c r="K79" s="76">
        <f t="shared" si="0"/>
        <v>49779.34303149468</v>
      </c>
      <c r="L79" s="77">
        <f t="shared" si="8"/>
        <v>4148.27858595789</v>
      </c>
    </row>
    <row r="80" spans="2:12" ht="12.75">
      <c r="B80" s="70">
        <f t="shared" si="6"/>
        <v>2043</v>
      </c>
      <c r="C80" s="71">
        <f t="shared" si="7"/>
        <v>92</v>
      </c>
      <c r="D80" s="72"/>
      <c r="E80" s="73">
        <f t="shared" si="2"/>
        <v>83361.64891438567</v>
      </c>
      <c r="F80" s="73">
        <f t="shared" si="3"/>
        <v>6946.804076198806</v>
      </c>
      <c r="G80" s="74"/>
      <c r="H80" s="76">
        <f t="shared" si="4"/>
        <v>92324.05434931742</v>
      </c>
      <c r="I80" s="73">
        <f t="shared" si="5"/>
        <v>7693.671195776452</v>
      </c>
      <c r="J80" s="74"/>
      <c r="K80" s="76">
        <f t="shared" si="0"/>
        <v>50778.22989212458</v>
      </c>
      <c r="L80" s="77">
        <f t="shared" si="8"/>
        <v>4231.5191576770485</v>
      </c>
    </row>
    <row r="81" spans="2:12" ht="12.75">
      <c r="B81" s="70">
        <f t="shared" si="6"/>
        <v>2044</v>
      </c>
      <c r="C81" s="71">
        <f t="shared" si="7"/>
        <v>93</v>
      </c>
      <c r="D81" s="72"/>
      <c r="E81" s="73">
        <f t="shared" si="2"/>
        <v>85028.8818926734</v>
      </c>
      <c r="F81" s="73">
        <f t="shared" si="3"/>
        <v>7085.740157722783</v>
      </c>
      <c r="G81" s="74"/>
      <c r="H81" s="76">
        <f t="shared" si="4"/>
        <v>94176.53543630378</v>
      </c>
      <c r="I81" s="73">
        <f t="shared" si="5"/>
        <v>7848.044619691981</v>
      </c>
      <c r="J81" s="74"/>
      <c r="K81" s="76">
        <f t="shared" si="0"/>
        <v>51797.09448996708</v>
      </c>
      <c r="L81" s="77">
        <f t="shared" si="8"/>
        <v>4316.42454083059</v>
      </c>
    </row>
    <row r="82" spans="2:12" ht="12.75">
      <c r="B82" s="70">
        <f t="shared" si="6"/>
        <v>2045</v>
      </c>
      <c r="C82" s="71">
        <f t="shared" si="7"/>
        <v>94</v>
      </c>
      <c r="D82" s="72"/>
      <c r="E82" s="73">
        <f t="shared" si="2"/>
        <v>86729.45953052686</v>
      </c>
      <c r="F82" s="73">
        <f t="shared" si="3"/>
        <v>7227.454960877239</v>
      </c>
      <c r="G82" s="74"/>
      <c r="H82" s="76">
        <f t="shared" si="4"/>
        <v>96066.06614502984</v>
      </c>
      <c r="I82" s="73">
        <f t="shared" si="5"/>
        <v>8005.50551208582</v>
      </c>
      <c r="J82" s="74"/>
      <c r="K82" s="76">
        <f t="shared" si="0"/>
        <v>52836.33637976641</v>
      </c>
      <c r="L82" s="77">
        <f t="shared" si="8"/>
        <v>4403.028031647201</v>
      </c>
    </row>
    <row r="83" spans="2:12" ht="12.75">
      <c r="B83" s="70">
        <f t="shared" si="6"/>
        <v>2046</v>
      </c>
      <c r="C83" s="71">
        <f t="shared" si="7"/>
        <v>95</v>
      </c>
      <c r="D83" s="72"/>
      <c r="E83" s="73">
        <f t="shared" si="2"/>
        <v>88464.0487211374</v>
      </c>
      <c r="F83" s="73">
        <f t="shared" si="3"/>
        <v>7372.004060094783</v>
      </c>
      <c r="G83" s="74"/>
      <c r="H83" s="76">
        <f t="shared" si="4"/>
        <v>97993.38746793044</v>
      </c>
      <c r="I83" s="73">
        <f t="shared" si="5"/>
        <v>8166.115622327537</v>
      </c>
      <c r="J83" s="74"/>
      <c r="K83" s="76">
        <f t="shared" si="0"/>
        <v>53896.36310736175</v>
      </c>
      <c r="L83" s="77">
        <f t="shared" si="8"/>
        <v>4491.363592280146</v>
      </c>
    </row>
    <row r="84" spans="2:12" ht="12.75">
      <c r="B84" s="70">
        <f t="shared" si="6"/>
        <v>2047</v>
      </c>
      <c r="C84" s="71">
        <f t="shared" si="7"/>
        <v>96</v>
      </c>
      <c r="D84" s="72"/>
      <c r="E84" s="73">
        <f t="shared" si="2"/>
        <v>90233.32969556014</v>
      </c>
      <c r="F84" s="73">
        <f t="shared" si="3"/>
        <v>7519.444141296678</v>
      </c>
      <c r="G84" s="74"/>
      <c r="H84" s="76">
        <f t="shared" si="4"/>
        <v>99959.25521728904</v>
      </c>
      <c r="I84" s="73">
        <f t="shared" si="5"/>
        <v>8329.937934774087</v>
      </c>
      <c r="J84" s="74"/>
      <c r="K84" s="76">
        <f t="shared" si="0"/>
        <v>54977.59036950898</v>
      </c>
      <c r="L84" s="77">
        <f t="shared" si="8"/>
        <v>4581.465864125748</v>
      </c>
    </row>
    <row r="85" spans="2:12" ht="12.75">
      <c r="B85" s="70">
        <f t="shared" si="6"/>
        <v>2048</v>
      </c>
      <c r="C85" s="71">
        <f t="shared" si="7"/>
        <v>97</v>
      </c>
      <c r="D85" s="72"/>
      <c r="E85" s="73">
        <f t="shared" si="2"/>
        <v>92037.99628947134</v>
      </c>
      <c r="F85" s="73">
        <f t="shared" si="3"/>
        <v>7669.833024122611</v>
      </c>
      <c r="G85" s="74"/>
      <c r="H85" s="76">
        <f t="shared" si="4"/>
        <v>101964.44032163481</v>
      </c>
      <c r="I85" s="73">
        <f t="shared" si="5"/>
        <v>8497.036693469568</v>
      </c>
      <c r="J85" s="74"/>
      <c r="K85" s="76">
        <f t="shared" si="0"/>
        <v>56080.44217689915</v>
      </c>
      <c r="L85" s="77">
        <f t="shared" si="8"/>
        <v>4673.370181408262</v>
      </c>
    </row>
    <row r="86" spans="2:12" ht="12.75">
      <c r="B86" s="70">
        <f t="shared" si="6"/>
        <v>2049</v>
      </c>
      <c r="C86" s="71">
        <f t="shared" si="7"/>
        <v>98</v>
      </c>
      <c r="D86" s="72"/>
      <c r="E86" s="73">
        <f t="shared" si="2"/>
        <v>93878.75621526077</v>
      </c>
      <c r="F86" s="73">
        <f t="shared" si="3"/>
        <v>7823.229684605064</v>
      </c>
      <c r="G86" s="74"/>
      <c r="H86" s="76">
        <f t="shared" si="4"/>
        <v>104009.72912806753</v>
      </c>
      <c r="I86" s="73">
        <f t="shared" si="5"/>
        <v>8667.477427338961</v>
      </c>
      <c r="J86" s="74"/>
      <c r="K86" s="76">
        <f t="shared" si="0"/>
        <v>57205.35102043714</v>
      </c>
      <c r="L86" s="77">
        <f t="shared" si="8"/>
        <v>4767.112585036429</v>
      </c>
    </row>
    <row r="87" spans="2:12" ht="12.75">
      <c r="B87" s="70">
        <f t="shared" si="6"/>
        <v>2050</v>
      </c>
      <c r="C87" s="71">
        <f t="shared" si="7"/>
        <v>99</v>
      </c>
      <c r="D87" s="72"/>
      <c r="E87" s="73">
        <f t="shared" si="2"/>
        <v>95756.331339566</v>
      </c>
      <c r="F87" s="73">
        <f t="shared" si="3"/>
        <v>7979.694278297166</v>
      </c>
      <c r="G87" s="74"/>
      <c r="H87" s="76">
        <f t="shared" si="4"/>
        <v>106095.92371062888</v>
      </c>
      <c r="I87" s="73">
        <f t="shared" si="5"/>
        <v>8841.32697588574</v>
      </c>
      <c r="J87" s="74"/>
      <c r="K87" s="76">
        <f t="shared" si="0"/>
        <v>58352.75804084589</v>
      </c>
      <c r="L87" s="77">
        <f t="shared" si="8"/>
        <v>4862.729836737158</v>
      </c>
    </row>
    <row r="88" spans="2:12" ht="12.75">
      <c r="B88" s="70">
        <f t="shared" si="6"/>
        <v>2051</v>
      </c>
      <c r="C88" s="71">
        <f t="shared" si="7"/>
        <v>100</v>
      </c>
      <c r="D88" s="72"/>
      <c r="E88" s="73">
        <f t="shared" si="2"/>
        <v>97671.45796635731</v>
      </c>
      <c r="F88" s="73">
        <f t="shared" si="3"/>
        <v>8139.288163863109</v>
      </c>
      <c r="G88" s="74"/>
      <c r="H88" s="76">
        <f t="shared" si="4"/>
        <v>108223.84218484146</v>
      </c>
      <c r="I88" s="73">
        <f t="shared" si="5"/>
        <v>9018.653515403455</v>
      </c>
      <c r="J88" s="74"/>
      <c r="K88" s="76">
        <f t="shared" si="0"/>
        <v>59523.1132016628</v>
      </c>
      <c r="L88" s="77">
        <f t="shared" si="8"/>
        <v>4960.259433471901</v>
      </c>
    </row>
    <row r="89" spans="2:12" ht="12.75">
      <c r="B89" s="70">
        <f t="shared" si="6"/>
        <v>2052</v>
      </c>
      <c r="C89" s="71">
        <f t="shared" si="7"/>
        <v>101</v>
      </c>
      <c r="D89" s="72"/>
      <c r="E89" s="73">
        <f t="shared" si="2"/>
        <v>99624.88712568446</v>
      </c>
      <c r="F89" s="73">
        <f t="shared" si="3"/>
        <v>8302.07392714037</v>
      </c>
      <c r="G89" s="74"/>
      <c r="H89" s="76">
        <f t="shared" si="4"/>
        <v>110394.31902853829</v>
      </c>
      <c r="I89" s="73">
        <f t="shared" si="5"/>
        <v>9199.526585711525</v>
      </c>
      <c r="J89" s="74"/>
      <c r="K89" s="76">
        <f t="shared" si="0"/>
        <v>60716.87546569607</v>
      </c>
      <c r="L89" s="77">
        <f t="shared" si="8"/>
        <v>5059.739622141339</v>
      </c>
    </row>
    <row r="90" spans="2:12" ht="12.75">
      <c r="B90" s="70">
        <f t="shared" si="6"/>
        <v>2053</v>
      </c>
      <c r="C90" s="71">
        <f t="shared" si="7"/>
        <v>102</v>
      </c>
      <c r="D90" s="72"/>
      <c r="E90" s="73">
        <f t="shared" si="2"/>
        <v>101617.38486819815</v>
      </c>
      <c r="F90" s="73">
        <f t="shared" si="3"/>
        <v>8468.115405683178</v>
      </c>
      <c r="G90" s="74"/>
      <c r="H90" s="76">
        <f t="shared" si="4"/>
        <v>112608.20540910905</v>
      </c>
      <c r="I90" s="73">
        <f t="shared" si="5"/>
        <v>9384.017117425754</v>
      </c>
      <c r="J90" s="74"/>
      <c r="K90" s="76">
        <f t="shared" si="0"/>
        <v>61934.51297500999</v>
      </c>
      <c r="L90" s="77">
        <f t="shared" si="8"/>
        <v>5161.209414584166</v>
      </c>
    </row>
    <row r="91" spans="2:12" ht="12.75">
      <c r="B91" s="70">
        <f t="shared" si="6"/>
        <v>2054</v>
      </c>
      <c r="C91" s="71">
        <f t="shared" si="7"/>
        <v>103</v>
      </c>
      <c r="D91" s="72"/>
      <c r="E91" s="73">
        <f t="shared" si="2"/>
        <v>103649.73256556211</v>
      </c>
      <c r="F91" s="73">
        <f t="shared" si="3"/>
        <v>8637.477713796843</v>
      </c>
      <c r="G91" s="74"/>
      <c r="H91" s="76">
        <f t="shared" si="4"/>
        <v>114866.36951729123</v>
      </c>
      <c r="I91" s="73">
        <f t="shared" si="5"/>
        <v>9572.197459774268</v>
      </c>
      <c r="J91" s="74"/>
      <c r="K91" s="76">
        <f t="shared" si="0"/>
        <v>63176.50323451018</v>
      </c>
      <c r="L91" s="77">
        <f t="shared" si="8"/>
        <v>5264.708602875849</v>
      </c>
    </row>
    <row r="92" spans="2:12" ht="12.75">
      <c r="B92" s="70">
        <f t="shared" si="6"/>
        <v>2055</v>
      </c>
      <c r="C92" s="71">
        <f t="shared" si="7"/>
        <v>104</v>
      </c>
      <c r="D92" s="72"/>
      <c r="E92" s="73">
        <f t="shared" si="2"/>
        <v>105722.72721687335</v>
      </c>
      <c r="F92" s="73">
        <f t="shared" si="3"/>
        <v>8810.227268072778</v>
      </c>
      <c r="G92" s="74"/>
      <c r="H92" s="76">
        <f t="shared" si="4"/>
        <v>117169.69690763704</v>
      </c>
      <c r="I92" s="73">
        <f t="shared" si="5"/>
        <v>9764.141408969754</v>
      </c>
      <c r="J92" s="74"/>
      <c r="K92" s="76">
        <f t="shared" si="0"/>
        <v>64443.33329920038</v>
      </c>
      <c r="L92" s="77">
        <f t="shared" si="8"/>
        <v>5370.2777749333645</v>
      </c>
    </row>
    <row r="93" spans="2:12" ht="12.75">
      <c r="B93" s="70">
        <f t="shared" si="6"/>
        <v>2056</v>
      </c>
      <c r="C93" s="71">
        <f t="shared" si="7"/>
        <v>105</v>
      </c>
      <c r="D93" s="72"/>
      <c r="E93" s="73">
        <f t="shared" si="2"/>
        <v>107837.18176121081</v>
      </c>
      <c r="F93" s="73">
        <f t="shared" si="3"/>
        <v>8986.431813434234</v>
      </c>
      <c r="G93" s="74"/>
      <c r="H93" s="76">
        <f t="shared" si="4"/>
        <v>119519.09084578979</v>
      </c>
      <c r="I93" s="73">
        <f t="shared" si="5"/>
        <v>9959.92423714915</v>
      </c>
      <c r="J93" s="74"/>
      <c r="K93" s="76">
        <f t="shared" si="0"/>
        <v>65735.49996518438</v>
      </c>
      <c r="L93" s="77">
        <f t="shared" si="8"/>
        <v>5477.958330432032</v>
      </c>
    </row>
    <row r="94" spans="2:12" ht="12.75">
      <c r="B94" s="70">
        <f t="shared" si="6"/>
        <v>2057</v>
      </c>
      <c r="C94" s="71">
        <f t="shared" si="7"/>
        <v>106</v>
      </c>
      <c r="D94" s="72"/>
      <c r="E94" s="73">
        <f t="shared" si="2"/>
        <v>109993.92539643504</v>
      </c>
      <c r="F94" s="73">
        <f t="shared" si="3"/>
        <v>9166.16044970292</v>
      </c>
      <c r="G94" s="74"/>
      <c r="H94" s="76">
        <f t="shared" si="4"/>
        <v>121915.4726627056</v>
      </c>
      <c r="I94" s="73">
        <f t="shared" si="5"/>
        <v>10159.622721892132</v>
      </c>
      <c r="J94" s="74"/>
      <c r="K94" s="76">
        <f t="shared" si="0"/>
        <v>67053.50996448808</v>
      </c>
      <c r="L94" s="77">
        <f t="shared" si="8"/>
        <v>5587.792497040674</v>
      </c>
    </row>
    <row r="95" spans="2:12" ht="12.75">
      <c r="B95" s="70">
        <f t="shared" si="6"/>
        <v>2058</v>
      </c>
      <c r="C95" s="71">
        <f t="shared" si="7"/>
        <v>107</v>
      </c>
      <c r="D95" s="72"/>
      <c r="E95" s="73">
        <f t="shared" si="2"/>
        <v>112193.80390436374</v>
      </c>
      <c r="F95" s="73">
        <f t="shared" si="3"/>
        <v>9349.483658696978</v>
      </c>
      <c r="G95" s="74"/>
      <c r="H95" s="76">
        <f t="shared" si="4"/>
        <v>124359.78211595971</v>
      </c>
      <c r="I95" s="73">
        <f t="shared" si="5"/>
        <v>10363.315176329976</v>
      </c>
      <c r="J95" s="74"/>
      <c r="K95" s="76">
        <f t="shared" si="0"/>
        <v>68397.88016377784</v>
      </c>
      <c r="L95" s="77">
        <f t="shared" si="8"/>
        <v>5699.823346981487</v>
      </c>
    </row>
    <row r="96" spans="2:12" ht="12.75">
      <c r="B96" s="70">
        <f t="shared" si="6"/>
        <v>2059</v>
      </c>
      <c r="C96" s="71">
        <f t="shared" si="7"/>
        <v>108</v>
      </c>
      <c r="D96" s="72"/>
      <c r="E96" s="73">
        <f t="shared" si="2"/>
        <v>114437.67998245101</v>
      </c>
      <c r="F96" s="73">
        <f t="shared" si="3"/>
        <v>9536.473331870917</v>
      </c>
      <c r="G96" s="74"/>
      <c r="H96" s="76">
        <f t="shared" si="4"/>
        <v>126852.9777582789</v>
      </c>
      <c r="I96" s="73">
        <f t="shared" si="5"/>
        <v>10571.081479856575</v>
      </c>
      <c r="J96" s="74"/>
      <c r="K96" s="76">
        <f t="shared" si="0"/>
        <v>69769.1377670534</v>
      </c>
      <c r="L96" s="77">
        <f t="shared" si="8"/>
        <v>5814.094813921117</v>
      </c>
    </row>
    <row r="97" spans="2:12" ht="12.75">
      <c r="B97" s="70">
        <f t="shared" si="6"/>
        <v>2060</v>
      </c>
      <c r="C97" s="71">
        <f t="shared" si="7"/>
        <v>109</v>
      </c>
      <c r="D97" s="72"/>
      <c r="E97" s="73">
        <f t="shared" si="2"/>
        <v>116726.43358210003</v>
      </c>
      <c r="F97" s="73">
        <f t="shared" si="3"/>
        <v>9727.202798508335</v>
      </c>
      <c r="G97" s="74"/>
      <c r="H97" s="76">
        <f t="shared" si="4"/>
        <v>129396.03731344447</v>
      </c>
      <c r="I97" s="73">
        <f t="shared" si="5"/>
        <v>10783.003109453706</v>
      </c>
      <c r="J97" s="74"/>
      <c r="K97" s="76">
        <f t="shared" si="0"/>
        <v>71167.82052239447</v>
      </c>
      <c r="L97" s="77">
        <f t="shared" si="8"/>
        <v>5930.651710199539</v>
      </c>
    </row>
    <row r="98" spans="2:17" ht="12.75">
      <c r="B98" s="70">
        <f t="shared" si="6"/>
        <v>2061</v>
      </c>
      <c r="C98" s="71">
        <f t="shared" si="7"/>
        <v>110</v>
      </c>
      <c r="D98" s="72"/>
      <c r="E98" s="73">
        <f t="shared" si="2"/>
        <v>119060.96225374202</v>
      </c>
      <c r="F98" s="73">
        <f t="shared" si="3"/>
        <v>9921.746854478502</v>
      </c>
      <c r="G98" s="74"/>
      <c r="H98" s="76">
        <f t="shared" si="4"/>
        <v>131989.95805971336</v>
      </c>
      <c r="I98" s="73">
        <f t="shared" si="5"/>
        <v>10999.16317164278</v>
      </c>
      <c r="J98" s="74"/>
      <c r="K98" s="76">
        <f t="shared" si="0"/>
        <v>72594.47693284236</v>
      </c>
      <c r="L98" s="77">
        <f t="shared" si="8"/>
        <v>6049.53974440353</v>
      </c>
      <c r="Q98" s="19"/>
    </row>
    <row r="99" spans="2:12" ht="13.5" thickBot="1">
      <c r="B99" s="78">
        <f t="shared" si="6"/>
        <v>2062</v>
      </c>
      <c r="C99" s="79">
        <f t="shared" si="7"/>
        <v>111</v>
      </c>
      <c r="D99" s="80"/>
      <c r="E99" s="81">
        <f t="shared" si="2"/>
        <v>121442.18149881686</v>
      </c>
      <c r="F99" s="81">
        <f t="shared" si="3"/>
        <v>10120.181791568071</v>
      </c>
      <c r="G99" s="82"/>
      <c r="H99" s="83">
        <f t="shared" si="4"/>
        <v>134635.75722090763</v>
      </c>
      <c r="I99" s="81">
        <f t="shared" si="5"/>
        <v>11219.646435075636</v>
      </c>
      <c r="J99" s="82"/>
      <c r="K99" s="83">
        <f t="shared" si="0"/>
        <v>74049.66647149921</v>
      </c>
      <c r="L99" s="84">
        <f t="shared" si="8"/>
        <v>6170.8055392916</v>
      </c>
    </row>
    <row r="100" spans="2:12" ht="13.5" thickBot="1">
      <c r="B100" s="19"/>
      <c r="C100" s="19"/>
      <c r="D100" s="44"/>
      <c r="E100" s="85"/>
      <c r="F100" s="85"/>
      <c r="G100" s="85"/>
      <c r="H100" s="86"/>
      <c r="I100" s="85"/>
      <c r="J100" s="173"/>
      <c r="K100" s="86"/>
      <c r="L100" s="86"/>
    </row>
    <row r="101" spans="2:13" s="143" customFormat="1" ht="15" customHeight="1">
      <c r="B101" s="144" t="s">
        <v>52</v>
      </c>
      <c r="C101" s="145"/>
      <c r="D101" s="146"/>
      <c r="E101" s="146"/>
      <c r="F101" s="146"/>
      <c r="G101" s="146"/>
      <c r="H101" s="146"/>
      <c r="I101" s="146"/>
      <c r="J101" s="146"/>
      <c r="K101" s="146"/>
      <c r="L101" s="147"/>
      <c r="M101" s="142"/>
    </row>
    <row r="102" spans="2:13" s="140" customFormat="1" ht="15" customHeight="1">
      <c r="B102" s="154" t="s">
        <v>50</v>
      </c>
      <c r="C102" s="155"/>
      <c r="D102" s="155"/>
      <c r="E102" s="155"/>
      <c r="F102" s="155"/>
      <c r="G102" s="155"/>
      <c r="H102" s="155"/>
      <c r="I102" s="155"/>
      <c r="J102" s="155"/>
      <c r="K102" s="155"/>
      <c r="L102" s="156"/>
      <c r="M102" s="139"/>
    </row>
    <row r="103" spans="2:13" s="140" customFormat="1" ht="15" customHeight="1">
      <c r="B103" s="148" t="s">
        <v>51</v>
      </c>
      <c r="C103" s="141"/>
      <c r="D103" s="141"/>
      <c r="E103" s="141"/>
      <c r="F103" s="141"/>
      <c r="G103" s="141"/>
      <c r="H103" s="141"/>
      <c r="I103" s="141"/>
      <c r="J103" s="141"/>
      <c r="K103" s="141"/>
      <c r="L103" s="149"/>
      <c r="M103" s="139"/>
    </row>
    <row r="104" spans="2:13" s="140" customFormat="1" ht="15" customHeight="1">
      <c r="B104" s="150" t="s">
        <v>53</v>
      </c>
      <c r="C104" s="141"/>
      <c r="D104" s="141"/>
      <c r="E104" s="141"/>
      <c r="F104" s="141"/>
      <c r="G104" s="141"/>
      <c r="H104" s="141"/>
      <c r="I104" s="141"/>
      <c r="J104" s="141"/>
      <c r="K104" s="141"/>
      <c r="L104" s="149"/>
      <c r="M104" s="139"/>
    </row>
    <row r="105" spans="2:13" s="140" customFormat="1" ht="15" customHeight="1" thickBot="1">
      <c r="B105" s="151" t="s">
        <v>54</v>
      </c>
      <c r="C105" s="152"/>
      <c r="D105" s="152"/>
      <c r="E105" s="152"/>
      <c r="F105" s="152"/>
      <c r="G105" s="152"/>
      <c r="H105" s="152"/>
      <c r="I105" s="152"/>
      <c r="J105" s="152"/>
      <c r="K105" s="152"/>
      <c r="L105" s="153"/>
      <c r="M105" s="139"/>
    </row>
    <row r="106" spans="2:12" ht="12.75">
      <c r="B106" s="19"/>
      <c r="C106" s="19"/>
      <c r="D106" s="44"/>
      <c r="E106" s="85"/>
      <c r="F106" s="85"/>
      <c r="G106" s="85"/>
      <c r="H106" s="86"/>
      <c r="I106" s="85"/>
      <c r="J106" s="173"/>
      <c r="K106" s="86"/>
      <c r="L106" s="86"/>
    </row>
    <row r="107" spans="5:13" s="19" customFormat="1" ht="13.5" thickBot="1">
      <c r="E107" s="85"/>
      <c r="F107" s="85"/>
      <c r="G107" s="85"/>
      <c r="H107" s="86"/>
      <c r="I107" s="85"/>
      <c r="J107" s="85"/>
      <c r="K107" s="86"/>
      <c r="L107" s="86"/>
      <c r="M107" s="6"/>
    </row>
    <row r="108" spans="2:13" s="19" customFormat="1" ht="26.25" customHeight="1" thickBot="1">
      <c r="B108" s="157" t="s">
        <v>55</v>
      </c>
      <c r="C108" s="158"/>
      <c r="E108" s="85"/>
      <c r="F108" s="85"/>
      <c r="G108" s="85"/>
      <c r="H108" s="87"/>
      <c r="I108" s="88"/>
      <c r="J108" s="85"/>
      <c r="K108" s="86"/>
      <c r="L108" s="86"/>
      <c r="M108" s="6"/>
    </row>
    <row r="109" spans="2:13" s="19" customFormat="1" ht="15" customHeight="1">
      <c r="B109" s="64" t="s">
        <v>0</v>
      </c>
      <c r="C109" s="69" t="s">
        <v>19</v>
      </c>
      <c r="E109" s="89"/>
      <c r="F109" s="34"/>
      <c r="G109" s="34"/>
      <c r="H109" s="34"/>
      <c r="I109" s="34"/>
      <c r="J109" s="34"/>
      <c r="K109" s="35"/>
      <c r="L109" s="86"/>
      <c r="M109" s="6"/>
    </row>
    <row r="110" spans="2:13" s="19" customFormat="1" ht="12.75">
      <c r="B110" s="90" t="str">
        <f>"July 1975"</f>
        <v>July 1975</v>
      </c>
      <c r="C110" s="136">
        <v>8</v>
      </c>
      <c r="E110" s="91"/>
      <c r="F110" s="85"/>
      <c r="G110" s="85"/>
      <c r="H110" s="92" t="s">
        <v>64</v>
      </c>
      <c r="I110" s="127">
        <f>SUM(C110:C156)/47</f>
        <v>3.6808510638297878</v>
      </c>
      <c r="J110" s="94" t="s">
        <v>10</v>
      </c>
      <c r="K110" s="95"/>
      <c r="L110" s="86"/>
      <c r="M110" s="6"/>
    </row>
    <row r="111" spans="2:13" s="19" customFormat="1" ht="12.75">
      <c r="B111" s="90" t="str">
        <f>"July 1976"</f>
        <v>July 1976</v>
      </c>
      <c r="C111" s="136">
        <v>6.4</v>
      </c>
      <c r="E111" s="91"/>
      <c r="F111" s="85"/>
      <c r="G111" s="85"/>
      <c r="H111" s="96"/>
      <c r="I111" s="128"/>
      <c r="J111" s="94"/>
      <c r="K111" s="95"/>
      <c r="L111" s="86"/>
      <c r="M111" s="6"/>
    </row>
    <row r="112" spans="2:13" s="19" customFormat="1" ht="12.75">
      <c r="B112" s="90" t="str">
        <f>"July 1977"</f>
        <v>July 1977</v>
      </c>
      <c r="C112" s="136">
        <v>5.9</v>
      </c>
      <c r="E112" s="91"/>
      <c r="F112" s="85"/>
      <c r="G112" s="85"/>
      <c r="H112" s="92" t="s">
        <v>46</v>
      </c>
      <c r="I112" s="127">
        <f>SUM(C147:C156)/10</f>
        <v>1.8800000000000001</v>
      </c>
      <c r="J112" s="94" t="s">
        <v>10</v>
      </c>
      <c r="K112" s="95"/>
      <c r="L112" s="86"/>
      <c r="M112" s="6"/>
    </row>
    <row r="113" spans="2:11" ht="12.75">
      <c r="B113" s="90" t="str">
        <f>"July 1978"</f>
        <v>July 1978</v>
      </c>
      <c r="C113" s="136">
        <v>6.5</v>
      </c>
      <c r="E113" s="36"/>
      <c r="F113" s="19"/>
      <c r="G113" s="19"/>
      <c r="H113" s="96"/>
      <c r="I113" s="127"/>
      <c r="J113" s="98"/>
      <c r="K113" s="99"/>
    </row>
    <row r="114" spans="2:16" ht="12.75">
      <c r="B114" s="90" t="str">
        <f>"July 1979"</f>
        <v>July 1979</v>
      </c>
      <c r="C114" s="136">
        <v>9.9</v>
      </c>
      <c r="E114" s="36"/>
      <c r="F114" s="19"/>
      <c r="G114" s="19"/>
      <c r="H114" s="92" t="s">
        <v>47</v>
      </c>
      <c r="I114" s="127">
        <f>SUM(C152:C156)/5</f>
        <v>2.72</v>
      </c>
      <c r="J114" s="94" t="s">
        <v>10</v>
      </c>
      <c r="K114" s="99"/>
      <c r="O114" s="19"/>
      <c r="P114" s="19"/>
    </row>
    <row r="115" spans="2:16" s="6" customFormat="1" ht="12.75">
      <c r="B115" s="90" t="str">
        <f>"July 1980"</f>
        <v>July 1980</v>
      </c>
      <c r="C115" s="136">
        <v>14.3</v>
      </c>
      <c r="D115" s="100"/>
      <c r="E115" s="101"/>
      <c r="H115" s="96"/>
      <c r="I115" s="127"/>
      <c r="J115" s="102"/>
      <c r="K115" s="103"/>
      <c r="L115" s="100"/>
      <c r="O115" s="104"/>
      <c r="P115" s="105"/>
    </row>
    <row r="116" spans="2:16" s="6" customFormat="1" ht="12.75">
      <c r="B116" s="90" t="str">
        <f>"July 1981"</f>
        <v>July 1981</v>
      </c>
      <c r="C116" s="136">
        <v>11.2</v>
      </c>
      <c r="D116" s="88"/>
      <c r="E116" s="106"/>
      <c r="H116" s="92" t="s">
        <v>48</v>
      </c>
      <c r="I116" s="127">
        <f>SUM(C154:C156)/3</f>
        <v>2.9333333333333336</v>
      </c>
      <c r="J116" s="94" t="s">
        <v>10</v>
      </c>
      <c r="K116" s="107"/>
      <c r="L116" s="88"/>
      <c r="O116" s="108"/>
      <c r="P116" s="109"/>
    </row>
    <row r="117" spans="2:16" s="19" customFormat="1" ht="12.75">
      <c r="B117" s="90" t="str">
        <f>"July 1982"</f>
        <v>July 1982</v>
      </c>
      <c r="C117" s="136">
        <v>7.4</v>
      </c>
      <c r="E117" s="36"/>
      <c r="K117" s="20"/>
      <c r="M117" s="6"/>
      <c r="O117" s="112"/>
      <c r="P117" s="113"/>
    </row>
    <row r="118" spans="2:16" s="19" customFormat="1" ht="12.75">
      <c r="B118" s="90" t="str">
        <f>"Jan 1984"</f>
        <v>Jan 1984</v>
      </c>
      <c r="C118" s="136">
        <v>3.5</v>
      </c>
      <c r="E118" s="36"/>
      <c r="H118" s="92" t="s">
        <v>49</v>
      </c>
      <c r="I118" s="127">
        <f>SUM(C155:C156)/2</f>
        <v>3.6</v>
      </c>
      <c r="J118" s="94" t="s">
        <v>10</v>
      </c>
      <c r="K118" s="132"/>
      <c r="M118" s="6"/>
      <c r="O118" s="112"/>
      <c r="P118" s="113"/>
    </row>
    <row r="119" spans="2:16" s="19" customFormat="1" ht="13.5" thickBot="1">
      <c r="B119" s="90" t="str">
        <f>"Jan 1985"</f>
        <v>Jan 1985</v>
      </c>
      <c r="C119" s="136">
        <v>3.5</v>
      </c>
      <c r="E119" s="110"/>
      <c r="F119" s="48"/>
      <c r="G119" s="48"/>
      <c r="H119" s="133"/>
      <c r="I119" s="134"/>
      <c r="J119" s="48"/>
      <c r="K119" s="111"/>
      <c r="M119" s="6"/>
      <c r="O119" s="112"/>
      <c r="P119" s="113"/>
    </row>
    <row r="120" spans="2:16" s="19" customFormat="1" ht="12.75">
      <c r="B120" s="90" t="str">
        <f>"Jan 1986"</f>
        <v>Jan 1986</v>
      </c>
      <c r="C120" s="136">
        <v>3.1</v>
      </c>
      <c r="H120" s="96"/>
      <c r="I120" s="45"/>
      <c r="M120" s="6"/>
      <c r="O120" s="112"/>
      <c r="P120" s="113"/>
    </row>
    <row r="121" spans="2:16" s="19" customFormat="1" ht="12.75">
      <c r="B121" s="90" t="str">
        <f>"Jan 1987"</f>
        <v>Jan 1987</v>
      </c>
      <c r="C121" s="136">
        <v>1.3</v>
      </c>
      <c r="H121" s="96"/>
      <c r="I121" s="45"/>
      <c r="M121" s="6"/>
      <c r="O121" s="112"/>
      <c r="P121" s="113"/>
    </row>
    <row r="122" spans="2:16" s="19" customFormat="1" ht="12.75">
      <c r="B122" s="90" t="str">
        <f>"Jan 1988"</f>
        <v>Jan 1988</v>
      </c>
      <c r="C122" s="136">
        <v>4.2</v>
      </c>
      <c r="H122" s="96"/>
      <c r="I122" s="45"/>
      <c r="M122" s="6"/>
      <c r="O122" s="112"/>
      <c r="P122" s="113"/>
    </row>
    <row r="123" spans="2:16" s="19" customFormat="1" ht="12.75">
      <c r="B123" s="90" t="str">
        <f>"Jan 1989"</f>
        <v>Jan 1989</v>
      </c>
      <c r="C123" s="136">
        <v>4</v>
      </c>
      <c r="H123" s="96"/>
      <c r="I123" s="45"/>
      <c r="M123" s="6"/>
      <c r="O123" s="112"/>
      <c r="P123" s="113"/>
    </row>
    <row r="124" spans="2:16" s="19" customFormat="1" ht="12.75">
      <c r="B124" s="90" t="str">
        <f>"Jan 1990"</f>
        <v>Jan 1990</v>
      </c>
      <c r="C124" s="136">
        <v>4.7</v>
      </c>
      <c r="H124" s="96"/>
      <c r="I124" s="45"/>
      <c r="M124" s="6"/>
      <c r="O124" s="112"/>
      <c r="P124" s="113"/>
    </row>
    <row r="125" spans="2:16" s="19" customFormat="1" ht="12.75">
      <c r="B125" s="90" t="str">
        <f>"Jan 1991"</f>
        <v>Jan 1991</v>
      </c>
      <c r="C125" s="136">
        <v>5.4</v>
      </c>
      <c r="H125" s="96"/>
      <c r="I125" s="45"/>
      <c r="L125" s="114"/>
      <c r="M125" s="6"/>
      <c r="O125" s="112"/>
      <c r="P125" s="113"/>
    </row>
    <row r="126" spans="2:16" s="19" customFormat="1" ht="12.75">
      <c r="B126" s="90" t="str">
        <f>"Jan 1992"</f>
        <v>Jan 1992</v>
      </c>
      <c r="C126" s="136">
        <v>3.7</v>
      </c>
      <c r="H126" s="96"/>
      <c r="I126" s="45"/>
      <c r="L126" s="114"/>
      <c r="M126" s="6"/>
      <c r="O126" s="112"/>
      <c r="P126" s="113"/>
    </row>
    <row r="127" spans="2:16" s="19" customFormat="1" ht="12.75">
      <c r="B127" s="90" t="str">
        <f>"Jan 1993"</f>
        <v>Jan 1993</v>
      </c>
      <c r="C127" s="136">
        <v>3</v>
      </c>
      <c r="H127" s="96"/>
      <c r="I127" s="45"/>
      <c r="L127" s="114"/>
      <c r="M127" s="6"/>
      <c r="O127" s="112"/>
      <c r="P127" s="113"/>
    </row>
    <row r="128" spans="2:16" s="19" customFormat="1" ht="12.75">
      <c r="B128" s="90" t="str">
        <f>"Jan 1994"</f>
        <v>Jan 1994</v>
      </c>
      <c r="C128" s="136">
        <v>2.6</v>
      </c>
      <c r="H128" s="96"/>
      <c r="I128" s="45"/>
      <c r="K128" s="37"/>
      <c r="L128" s="115"/>
      <c r="M128" s="6"/>
      <c r="O128" s="112"/>
      <c r="P128" s="113"/>
    </row>
    <row r="129" spans="2:16" s="19" customFormat="1" ht="12.75">
      <c r="B129" s="90" t="str">
        <f>"Jan 1995"</f>
        <v>Jan 1995</v>
      </c>
      <c r="C129" s="136">
        <v>2.8</v>
      </c>
      <c r="H129" s="96"/>
      <c r="I129" s="45"/>
      <c r="M129" s="6"/>
      <c r="O129" s="112"/>
      <c r="P129" s="113"/>
    </row>
    <row r="130" spans="2:16" s="19" customFormat="1" ht="12.75">
      <c r="B130" s="90" t="str">
        <f>"Jan 1996"</f>
        <v>Jan 1996</v>
      </c>
      <c r="C130" s="136">
        <v>2.6</v>
      </c>
      <c r="H130" s="96"/>
      <c r="I130" s="45"/>
      <c r="M130" s="6"/>
      <c r="O130" s="112"/>
      <c r="P130" s="113"/>
    </row>
    <row r="131" spans="2:13" s="19" customFormat="1" ht="12.75">
      <c r="B131" s="90" t="str">
        <f>"Jan 1997"</f>
        <v>Jan 1997</v>
      </c>
      <c r="C131" s="136">
        <v>2.9</v>
      </c>
      <c r="H131" s="96"/>
      <c r="I131" s="45"/>
      <c r="M131" s="6"/>
    </row>
    <row r="132" spans="2:13" s="19" customFormat="1" ht="12.75">
      <c r="B132" s="90" t="str">
        <f>"Jan 1998"</f>
        <v>Jan 1998</v>
      </c>
      <c r="C132" s="136">
        <v>2.1</v>
      </c>
      <c r="H132" s="96"/>
      <c r="I132" s="45"/>
      <c r="M132" s="6"/>
    </row>
    <row r="133" spans="2:13" s="19" customFormat="1" ht="12.75">
      <c r="B133" s="90" t="str">
        <f>"Jan 1999"</f>
        <v>Jan 1999</v>
      </c>
      <c r="C133" s="136">
        <v>1.3</v>
      </c>
      <c r="H133" s="96"/>
      <c r="I133" s="45"/>
      <c r="K133" s="37"/>
      <c r="L133" s="93"/>
      <c r="M133" s="6"/>
    </row>
    <row r="134" spans="2:13" s="19" customFormat="1" ht="12.75">
      <c r="B134" s="90" t="str">
        <f>"Jan 2000"</f>
        <v>Jan 2000</v>
      </c>
      <c r="C134" s="136">
        <v>2.5</v>
      </c>
      <c r="H134" s="96"/>
      <c r="I134" s="45"/>
      <c r="K134" s="37"/>
      <c r="L134" s="93"/>
      <c r="M134" s="6"/>
    </row>
    <row r="135" spans="2:13" s="19" customFormat="1" ht="12.75">
      <c r="B135" s="90" t="str">
        <f>"Jan 2001"</f>
        <v>Jan 2001</v>
      </c>
      <c r="C135" s="136">
        <v>3.5</v>
      </c>
      <c r="H135" s="96"/>
      <c r="I135" s="45"/>
      <c r="K135" s="37"/>
      <c r="L135" s="93"/>
      <c r="M135" s="6"/>
    </row>
    <row r="136" spans="2:9" ht="12.75">
      <c r="B136" s="90" t="str">
        <f>"Jan 2002"</f>
        <v>Jan 2002</v>
      </c>
      <c r="C136" s="136">
        <v>2.6</v>
      </c>
      <c r="H136" s="96"/>
      <c r="I136" s="45"/>
    </row>
    <row r="137" spans="2:9" ht="12.75">
      <c r="B137" s="90" t="str">
        <f>"Jan 2003"</f>
        <v>Jan 2003</v>
      </c>
      <c r="C137" s="136">
        <v>1.4</v>
      </c>
      <c r="H137" s="96"/>
      <c r="I137" s="45"/>
    </row>
    <row r="138" spans="2:9" ht="12.75">
      <c r="B138" s="90" t="str">
        <f>"Jan 2004"</f>
        <v>Jan 2004</v>
      </c>
      <c r="C138" s="136">
        <v>2.1</v>
      </c>
      <c r="H138" s="96"/>
      <c r="I138" s="45"/>
    </row>
    <row r="139" spans="2:9" ht="12.75">
      <c r="B139" s="90" t="str">
        <f>"Jan 2005"</f>
        <v>Jan 2005</v>
      </c>
      <c r="C139" s="136">
        <v>2.7</v>
      </c>
      <c r="H139" s="96"/>
      <c r="I139" s="45"/>
    </row>
    <row r="140" spans="2:9" ht="12.75">
      <c r="B140" s="90" t="str">
        <f>"Jan 2006"</f>
        <v>Jan 2006</v>
      </c>
      <c r="C140" s="136">
        <v>4.1</v>
      </c>
      <c r="H140" s="96"/>
      <c r="I140" s="45"/>
    </row>
    <row r="141" spans="2:9" ht="12.75">
      <c r="B141" s="90" t="str">
        <f>"Jan 2007"</f>
        <v>Jan 2007</v>
      </c>
      <c r="C141" s="136">
        <v>3.3</v>
      </c>
      <c r="H141" s="96"/>
      <c r="I141" s="45"/>
    </row>
    <row r="142" spans="2:9" ht="12.75">
      <c r="B142" s="90" t="str">
        <f>"Jan 2008"</f>
        <v>Jan 2008</v>
      </c>
      <c r="C142" s="136">
        <v>2.3</v>
      </c>
      <c r="H142" s="96"/>
      <c r="I142" s="45"/>
    </row>
    <row r="143" spans="2:9" ht="12.75">
      <c r="B143" s="90" t="str">
        <f>"Jan 2009"</f>
        <v>Jan 2009</v>
      </c>
      <c r="C143" s="136">
        <v>5.8</v>
      </c>
      <c r="H143" s="96"/>
      <c r="I143" s="45"/>
    </row>
    <row r="144" spans="2:9" ht="12.75">
      <c r="B144" s="90" t="str">
        <f>"Jan 2010"</f>
        <v>Jan 2010</v>
      </c>
      <c r="C144" s="126">
        <v>0</v>
      </c>
      <c r="H144" s="96"/>
      <c r="I144" s="97"/>
    </row>
    <row r="145" spans="2:9" ht="12.75">
      <c r="B145" s="90" t="str">
        <f>"Jan 2011"</f>
        <v>Jan 2011</v>
      </c>
      <c r="C145" s="126">
        <v>0</v>
      </c>
      <c r="H145" s="96"/>
      <c r="I145" s="97"/>
    </row>
    <row r="146" spans="2:9" ht="12.75">
      <c r="B146" s="90" t="str">
        <f>"Jan 2012"</f>
        <v>Jan 2012</v>
      </c>
      <c r="C146" s="126">
        <v>3.6</v>
      </c>
      <c r="H146" s="96"/>
      <c r="I146" s="97"/>
    </row>
    <row r="147" spans="2:9" ht="12.75">
      <c r="B147" s="90" t="str">
        <f>"Jan 2013"</f>
        <v>Jan 2013</v>
      </c>
      <c r="C147" s="126">
        <v>1.7</v>
      </c>
      <c r="H147" s="96"/>
      <c r="I147" s="97"/>
    </row>
    <row r="148" spans="2:9" ht="12.75">
      <c r="B148" s="90" t="str">
        <f>"Jan 2014"</f>
        <v>Jan 2014</v>
      </c>
      <c r="C148" s="125">
        <v>1.5</v>
      </c>
      <c r="E148" s="116"/>
      <c r="H148" s="96"/>
      <c r="I148" s="117"/>
    </row>
    <row r="149" spans="2:3" ht="12.75">
      <c r="B149" s="90" t="str">
        <f>"Jan 2015"</f>
        <v>Jan 2015</v>
      </c>
      <c r="C149" s="126">
        <v>1.7</v>
      </c>
    </row>
    <row r="150" spans="2:3" ht="12.75">
      <c r="B150" s="90" t="str">
        <f>"Jan 2016"</f>
        <v>Jan 2016</v>
      </c>
      <c r="C150" s="136">
        <v>0</v>
      </c>
    </row>
    <row r="151" spans="2:3" ht="12.75">
      <c r="B151" s="131" t="str">
        <f>"Jan 2017"</f>
        <v>Jan 2017</v>
      </c>
      <c r="C151" s="135">
        <v>0.3</v>
      </c>
    </row>
    <row r="152" spans="2:3" ht="12.75">
      <c r="B152" s="131" t="str">
        <f>"Jan 2018"</f>
        <v>Jan 2018</v>
      </c>
      <c r="C152" s="135">
        <v>2</v>
      </c>
    </row>
    <row r="153" spans="2:4" ht="12.75">
      <c r="B153" s="131" t="str">
        <f>"Jan 2019"</f>
        <v>Jan 2019</v>
      </c>
      <c r="C153" s="135">
        <v>2.8</v>
      </c>
      <c r="D153" s="119"/>
    </row>
    <row r="154" spans="2:3" ht="12.75">
      <c r="B154" s="131" t="str">
        <f>"Jan 2020"</f>
        <v>Jan 2020</v>
      </c>
      <c r="C154" s="135">
        <v>1.6</v>
      </c>
    </row>
    <row r="155" spans="2:10" ht="12.75">
      <c r="B155" s="131" t="str">
        <f>"Jan 2021"</f>
        <v>Jan 2021</v>
      </c>
      <c r="C155" s="135">
        <v>1.3</v>
      </c>
      <c r="D155" s="118"/>
      <c r="H155" s="120"/>
      <c r="I155" s="120"/>
      <c r="J155" s="120"/>
    </row>
    <row r="156" spans="2:9" ht="12.75">
      <c r="B156" s="131" t="str">
        <f>"Jan 2022"</f>
        <v>Jan 2022</v>
      </c>
      <c r="C156" s="135">
        <v>5.9</v>
      </c>
      <c r="D156" s="118"/>
      <c r="E156" s="7" t="s">
        <v>14</v>
      </c>
      <c r="H156" s="96"/>
      <c r="I156" s="97"/>
    </row>
    <row r="157" spans="2:9" ht="12.75">
      <c r="B157" s="131" t="str">
        <f>"Jan 2023"</f>
        <v>Jan 2023</v>
      </c>
      <c r="C157" s="135" t="s">
        <v>28</v>
      </c>
      <c r="E157" s="116" t="s">
        <v>66</v>
      </c>
      <c r="H157" s="96"/>
      <c r="I157" s="117"/>
    </row>
    <row r="158" spans="2:3" ht="12.75">
      <c r="B158" s="96"/>
      <c r="C158" s="172"/>
    </row>
    <row r="159" spans="2:3" ht="13.5" thickBot="1">
      <c r="B159" s="96"/>
      <c r="C159" s="172"/>
    </row>
    <row r="160" spans="2:12" ht="25.5" customHeight="1" thickBot="1">
      <c r="B160" s="157" t="s">
        <v>62</v>
      </c>
      <c r="C160" s="158"/>
      <c r="D160" s="19"/>
      <c r="E160" s="85"/>
      <c r="F160" s="85"/>
      <c r="G160" s="85"/>
      <c r="H160" s="87"/>
      <c r="I160" s="88"/>
      <c r="J160" s="85"/>
      <c r="K160" s="86"/>
      <c r="L160" s="86"/>
    </row>
    <row r="161" spans="2:12" ht="12.75">
      <c r="B161" s="64" t="s">
        <v>0</v>
      </c>
      <c r="C161" s="69" t="s">
        <v>19</v>
      </c>
      <c r="D161" s="19"/>
      <c r="E161" s="89"/>
      <c r="F161" s="34"/>
      <c r="G161" s="34"/>
      <c r="H161" s="34"/>
      <c r="I161" s="34"/>
      <c r="J161" s="34"/>
      <c r="K161" s="35"/>
      <c r="L161" s="86"/>
    </row>
    <row r="162" spans="2:12" ht="12.75">
      <c r="B162" s="90" t="str">
        <f>"Jan 1995"</f>
        <v>Jan 1995</v>
      </c>
      <c r="C162" s="136">
        <v>2</v>
      </c>
      <c r="D162" s="19"/>
      <c r="E162" s="91"/>
      <c r="F162" s="85"/>
      <c r="G162" s="85"/>
      <c r="H162" s="92" t="s">
        <v>63</v>
      </c>
      <c r="I162" s="127">
        <f>SUM(C162:C189)/28</f>
        <v>1.832142857142857</v>
      </c>
      <c r="J162" s="94" t="s">
        <v>10</v>
      </c>
      <c r="K162" s="95"/>
      <c r="L162" s="86"/>
    </row>
    <row r="163" spans="2:12" ht="12.75">
      <c r="B163" s="90" t="str">
        <f>"Jan 1996"</f>
        <v>Jan 1996</v>
      </c>
      <c r="C163" s="136">
        <v>2</v>
      </c>
      <c r="D163" s="19"/>
      <c r="E163" s="91"/>
      <c r="F163" s="85"/>
      <c r="G163" s="85"/>
      <c r="H163" s="96"/>
      <c r="I163" s="128"/>
      <c r="J163" s="94"/>
      <c r="K163" s="95"/>
      <c r="L163" s="86"/>
    </row>
    <row r="164" spans="2:12" ht="12.75">
      <c r="B164" s="90" t="str">
        <f>"Jan 1997"</f>
        <v>Jan 1997</v>
      </c>
      <c r="C164" s="136">
        <v>2</v>
      </c>
      <c r="D164" s="19"/>
      <c r="E164" s="91"/>
      <c r="F164" s="85"/>
      <c r="G164" s="85"/>
      <c r="H164" s="92" t="s">
        <v>46</v>
      </c>
      <c r="I164" s="127">
        <f>SUM(C180:C189)/10</f>
        <v>1.53</v>
      </c>
      <c r="J164" s="94" t="s">
        <v>10</v>
      </c>
      <c r="K164" s="95"/>
      <c r="L164" s="86"/>
    </row>
    <row r="165" spans="2:11" ht="12.75">
      <c r="B165" s="90" t="str">
        <f>"Jan 1998"</f>
        <v>Jan 1998</v>
      </c>
      <c r="C165" s="136">
        <v>2</v>
      </c>
      <c r="E165" s="36"/>
      <c r="F165" s="19"/>
      <c r="G165" s="19"/>
      <c r="H165" s="96"/>
      <c r="I165" s="127"/>
      <c r="J165" s="98"/>
      <c r="K165" s="99"/>
    </row>
    <row r="166" spans="2:11" ht="12.75">
      <c r="B166" s="90" t="str">
        <f>"Jan 1999"</f>
        <v>Jan 1999</v>
      </c>
      <c r="C166" s="136">
        <v>1.3</v>
      </c>
      <c r="E166" s="36"/>
      <c r="F166" s="19"/>
      <c r="G166" s="19"/>
      <c r="H166" s="92" t="s">
        <v>47</v>
      </c>
      <c r="I166" s="127">
        <f>SUM(C185:C189)/5</f>
        <v>2.3600000000000003</v>
      </c>
      <c r="J166" s="94" t="s">
        <v>10</v>
      </c>
      <c r="K166" s="99"/>
    </row>
    <row r="167" spans="2:12" ht="12.75">
      <c r="B167" s="90" t="str">
        <f>"Jan 2000"</f>
        <v>Jan 2000</v>
      </c>
      <c r="C167" s="136">
        <v>2</v>
      </c>
      <c r="D167" s="100"/>
      <c r="E167" s="101"/>
      <c r="F167" s="6"/>
      <c r="G167" s="6"/>
      <c r="H167" s="96"/>
      <c r="I167" s="127"/>
      <c r="J167" s="102"/>
      <c r="K167" s="103"/>
      <c r="L167" s="100"/>
    </row>
    <row r="168" spans="2:12" ht="12.75">
      <c r="B168" s="90" t="str">
        <f>"Jan 2001"</f>
        <v>Jan 2001</v>
      </c>
      <c r="C168" s="136">
        <v>2.5</v>
      </c>
      <c r="D168" s="88"/>
      <c r="E168" s="106"/>
      <c r="F168" s="6"/>
      <c r="G168" s="6"/>
      <c r="H168" s="92" t="s">
        <v>48</v>
      </c>
      <c r="I168" s="127">
        <f>SUM(C187:C189)/3</f>
        <v>2.6</v>
      </c>
      <c r="J168" s="94" t="s">
        <v>10</v>
      </c>
      <c r="K168" s="107"/>
      <c r="L168" s="88"/>
    </row>
    <row r="169" spans="2:12" ht="12.75">
      <c r="B169" s="90" t="str">
        <f>"Jan 2002"</f>
        <v>Jan 2002</v>
      </c>
      <c r="C169" s="136">
        <v>2</v>
      </c>
      <c r="D169" s="19"/>
      <c r="E169" s="36"/>
      <c r="F169" s="19"/>
      <c r="G169" s="19"/>
      <c r="H169" s="19"/>
      <c r="I169" s="19"/>
      <c r="J169" s="19"/>
      <c r="K169" s="20"/>
      <c r="L169" s="19"/>
    </row>
    <row r="170" spans="2:12" ht="12.75">
      <c r="B170" s="90" t="str">
        <f>"Jan 2003"</f>
        <v>Jan 2003</v>
      </c>
      <c r="C170" s="136">
        <v>1.4</v>
      </c>
      <c r="D170" s="19"/>
      <c r="E170" s="36"/>
      <c r="F170" s="19"/>
      <c r="G170" s="19"/>
      <c r="H170" s="92" t="s">
        <v>49</v>
      </c>
      <c r="I170" s="127">
        <f>SUM(C188:C189)/2</f>
        <v>3.1</v>
      </c>
      <c r="J170" s="94" t="s">
        <v>10</v>
      </c>
      <c r="K170" s="132"/>
      <c r="L170" s="19"/>
    </row>
    <row r="171" spans="2:12" ht="13.5" thickBot="1">
      <c r="B171" s="90" t="str">
        <f>"Jan 2004"</f>
        <v>Jan 2004</v>
      </c>
      <c r="C171" s="136">
        <v>2</v>
      </c>
      <c r="D171" s="19"/>
      <c r="E171" s="110"/>
      <c r="F171" s="48"/>
      <c r="G171" s="48"/>
      <c r="H171" s="133"/>
      <c r="I171" s="134"/>
      <c r="J171" s="48"/>
      <c r="K171" s="111"/>
      <c r="L171" s="19"/>
    </row>
    <row r="172" spans="2:12" ht="12.75">
      <c r="B172" s="90" t="str">
        <f>"Jan 2005"</f>
        <v>Jan 2005</v>
      </c>
      <c r="C172" s="136">
        <v>2</v>
      </c>
      <c r="D172" s="19"/>
      <c r="E172" s="19"/>
      <c r="F172" s="19"/>
      <c r="G172" s="19"/>
      <c r="H172" s="96"/>
      <c r="I172" s="45"/>
      <c r="J172" s="19"/>
      <c r="K172" s="19"/>
      <c r="L172" s="19"/>
    </row>
    <row r="173" spans="2:12" ht="12.75">
      <c r="B173" s="90" t="str">
        <f>"Jan 2006"</f>
        <v>Jan 2006</v>
      </c>
      <c r="C173" s="136">
        <v>3.1</v>
      </c>
      <c r="D173" s="19"/>
      <c r="E173" s="19"/>
      <c r="F173" s="19"/>
      <c r="G173" s="19"/>
      <c r="H173" s="96"/>
      <c r="I173" s="45"/>
      <c r="J173" s="19"/>
      <c r="K173" s="19"/>
      <c r="L173" s="19"/>
    </row>
    <row r="174" spans="2:13" s="143" customFormat="1" ht="15" customHeight="1">
      <c r="B174" s="90" t="str">
        <f>"Jan 2007"</f>
        <v>Jan 2007</v>
      </c>
      <c r="C174" s="136">
        <v>2.3</v>
      </c>
      <c r="D174" s="19"/>
      <c r="E174" s="19"/>
      <c r="F174" s="19"/>
      <c r="G174" s="19"/>
      <c r="H174" s="96"/>
      <c r="I174" s="45"/>
      <c r="J174" s="19"/>
      <c r="K174" s="19"/>
      <c r="L174" s="19"/>
      <c r="M174" s="142"/>
    </row>
    <row r="175" spans="2:13" s="140" customFormat="1" ht="15" customHeight="1">
      <c r="B175" s="90" t="str">
        <f>"Jan 2008"</f>
        <v>Jan 2008</v>
      </c>
      <c r="C175" s="136">
        <v>2</v>
      </c>
      <c r="D175" s="19"/>
      <c r="E175" s="19"/>
      <c r="F175" s="19"/>
      <c r="G175" s="19"/>
      <c r="H175" s="96"/>
      <c r="I175" s="45"/>
      <c r="J175" s="19"/>
      <c r="K175" s="19"/>
      <c r="L175" s="19"/>
      <c r="M175" s="139"/>
    </row>
    <row r="176" spans="2:13" s="140" customFormat="1" ht="15" customHeight="1">
      <c r="B176" s="90" t="str">
        <f>"Jan 2009"</f>
        <v>Jan 2009</v>
      </c>
      <c r="C176" s="136">
        <v>4.8</v>
      </c>
      <c r="D176" s="19"/>
      <c r="E176" s="19"/>
      <c r="F176" s="19"/>
      <c r="G176" s="19"/>
      <c r="H176" s="96"/>
      <c r="I176" s="45"/>
      <c r="J176" s="19"/>
      <c r="K176" s="19"/>
      <c r="L176" s="19"/>
      <c r="M176" s="139"/>
    </row>
    <row r="177" spans="2:13" s="140" customFormat="1" ht="15" customHeight="1">
      <c r="B177" s="90" t="str">
        <f>"Jan 2010"</f>
        <v>Jan 2010</v>
      </c>
      <c r="C177" s="136">
        <v>0</v>
      </c>
      <c r="D177" s="19"/>
      <c r="E177" s="19"/>
      <c r="F177" s="19"/>
      <c r="G177" s="19"/>
      <c r="H177" s="96"/>
      <c r="I177" s="45"/>
      <c r="J177" s="19"/>
      <c r="K177" s="19"/>
      <c r="L177" s="114"/>
      <c r="M177" s="139"/>
    </row>
    <row r="178" spans="2:13" s="140" customFormat="1" ht="15" customHeight="1">
      <c r="B178" s="90" t="str">
        <f>"Jan 2011"</f>
        <v>Jan 2011</v>
      </c>
      <c r="C178" s="136">
        <v>0</v>
      </c>
      <c r="D178" s="19"/>
      <c r="E178" s="19"/>
      <c r="F178" s="19"/>
      <c r="G178" s="19"/>
      <c r="H178" s="96"/>
      <c r="I178" s="45"/>
      <c r="J178" s="19"/>
      <c r="K178" s="19"/>
      <c r="L178" s="114"/>
      <c r="M178" s="139"/>
    </row>
    <row r="179" spans="2:13" s="140" customFormat="1" ht="15" customHeight="1">
      <c r="B179" s="90" t="str">
        <f>"Jan 2012"</f>
        <v>Jan 2012</v>
      </c>
      <c r="C179" s="136">
        <v>2.6</v>
      </c>
      <c r="D179" s="19"/>
      <c r="E179" s="19"/>
      <c r="F179" s="19"/>
      <c r="G179" s="19"/>
      <c r="H179" s="96"/>
      <c r="I179" s="45"/>
      <c r="J179" s="19"/>
      <c r="K179" s="19"/>
      <c r="L179" s="114"/>
      <c r="M179" s="139"/>
    </row>
    <row r="180" spans="2:13" s="140" customFormat="1" ht="15" customHeight="1">
      <c r="B180" s="90" t="str">
        <f>"Jan 2013"</f>
        <v>Jan 2013</v>
      </c>
      <c r="C180" s="136" t="s">
        <v>65</v>
      </c>
      <c r="D180" s="19"/>
      <c r="E180" s="19"/>
      <c r="F180" s="19"/>
      <c r="G180" s="19"/>
      <c r="H180" s="96"/>
      <c r="I180" s="45"/>
      <c r="J180" s="19"/>
      <c r="K180" s="37"/>
      <c r="L180" s="115"/>
      <c r="M180" s="139"/>
    </row>
    <row r="181" spans="2:13" s="140" customFormat="1" ht="15" customHeight="1">
      <c r="B181" s="90" t="str">
        <f>"Jan 2014"</f>
        <v>Jan 2014</v>
      </c>
      <c r="C181" s="136">
        <v>1.5</v>
      </c>
      <c r="D181" s="19"/>
      <c r="E181" s="19"/>
      <c r="F181" s="19"/>
      <c r="G181" s="19"/>
      <c r="H181" s="96"/>
      <c r="I181" s="45"/>
      <c r="J181" s="19"/>
      <c r="K181" s="19"/>
      <c r="L181" s="19"/>
      <c r="M181" s="139"/>
    </row>
    <row r="182" spans="2:12" ht="15" customHeight="1">
      <c r="B182" s="90" t="str">
        <f>"Jan 2015"</f>
        <v>Jan 2015</v>
      </c>
      <c r="C182" s="136">
        <v>1.7</v>
      </c>
      <c r="D182" s="19"/>
      <c r="E182" s="19"/>
      <c r="F182" s="19"/>
      <c r="G182" s="19"/>
      <c r="H182" s="96"/>
      <c r="I182" s="45"/>
      <c r="J182" s="19"/>
      <c r="K182" s="19"/>
      <c r="L182" s="19"/>
    </row>
    <row r="183" spans="2:12" ht="15" customHeight="1">
      <c r="B183" s="90" t="str">
        <f>"Jan 2016"</f>
        <v>Jan 2016</v>
      </c>
      <c r="C183" s="136">
        <v>0</v>
      </c>
      <c r="D183" s="19"/>
      <c r="E183" s="19"/>
      <c r="F183" s="19"/>
      <c r="G183" s="19"/>
      <c r="H183" s="96"/>
      <c r="I183" s="45"/>
      <c r="J183" s="19"/>
      <c r="K183" s="19"/>
      <c r="L183" s="19"/>
    </row>
    <row r="184" spans="2:12" ht="15" customHeight="1">
      <c r="B184" s="131" t="str">
        <f>"Jan 2017"</f>
        <v>Jan 2017</v>
      </c>
      <c r="C184" s="136">
        <v>0.3</v>
      </c>
      <c r="D184" s="19"/>
      <c r="E184" s="19"/>
      <c r="F184" s="19"/>
      <c r="G184" s="19"/>
      <c r="H184" s="96"/>
      <c r="I184" s="45"/>
      <c r="J184" s="19"/>
      <c r="K184" s="19"/>
      <c r="L184" s="19"/>
    </row>
    <row r="185" spans="2:12" ht="12.75">
      <c r="B185" s="131" t="str">
        <f>"Jan 2018"</f>
        <v>Jan 2018</v>
      </c>
      <c r="C185" s="136">
        <v>2</v>
      </c>
      <c r="D185" s="19"/>
      <c r="E185" s="19"/>
      <c r="F185" s="19"/>
      <c r="G185" s="19"/>
      <c r="H185" s="96"/>
      <c r="I185" s="45"/>
      <c r="J185" s="19"/>
      <c r="K185" s="37"/>
      <c r="L185" s="93"/>
    </row>
    <row r="186" spans="2:12" ht="12.75">
      <c r="B186" s="131" t="str">
        <f>"Jan 2019"</f>
        <v>Jan 2019</v>
      </c>
      <c r="C186" s="136">
        <v>2</v>
      </c>
      <c r="D186" s="19"/>
      <c r="E186" s="19"/>
      <c r="F186" s="19"/>
      <c r="G186" s="19"/>
      <c r="H186" s="96"/>
      <c r="I186" s="45"/>
      <c r="J186" s="19"/>
      <c r="K186" s="37"/>
      <c r="L186" s="93"/>
    </row>
    <row r="187" spans="2:12" ht="12.75">
      <c r="B187" s="131" t="str">
        <f>"Jan 2020"</f>
        <v>Jan 2020</v>
      </c>
      <c r="C187" s="136">
        <v>1.6</v>
      </c>
      <c r="D187" s="19"/>
      <c r="E187" s="19"/>
      <c r="F187" s="19"/>
      <c r="G187" s="19"/>
      <c r="H187" s="96"/>
      <c r="I187" s="45"/>
      <c r="J187" s="19"/>
      <c r="K187" s="37"/>
      <c r="L187" s="93"/>
    </row>
    <row r="188" spans="2:9" ht="12.75">
      <c r="B188" s="131" t="str">
        <f>"Jan 2021"</f>
        <v>Jan 2021</v>
      </c>
      <c r="C188" s="136">
        <v>1.3</v>
      </c>
      <c r="H188" s="96"/>
      <c r="I188" s="45"/>
    </row>
    <row r="189" spans="2:9" ht="12.75">
      <c r="B189" s="131" t="str">
        <f>"Jan 2022"</f>
        <v>Jan 2022</v>
      </c>
      <c r="C189" s="136">
        <v>4.9</v>
      </c>
      <c r="E189" s="7" t="s">
        <v>14</v>
      </c>
      <c r="H189" s="96"/>
      <c r="I189" s="97"/>
    </row>
    <row r="190" spans="2:9" ht="12.75">
      <c r="B190" s="131" t="str">
        <f>"Jan 2023"</f>
        <v>Jan 2023</v>
      </c>
      <c r="C190" s="136" t="s">
        <v>28</v>
      </c>
      <c r="E190" s="116" t="s">
        <v>66</v>
      </c>
      <c r="H190" s="96"/>
      <c r="I190" s="117"/>
    </row>
    <row r="191" spans="2:9" ht="12.75">
      <c r="B191" s="96"/>
      <c r="C191" s="172"/>
      <c r="H191" s="96"/>
      <c r="I191" s="45"/>
    </row>
    <row r="192" spans="2:9" ht="12.75">
      <c r="B192" s="96"/>
      <c r="C192" s="172"/>
      <c r="H192" s="96"/>
      <c r="I192" s="45"/>
    </row>
    <row r="193" spans="2:9" ht="12.75">
      <c r="B193" s="96"/>
      <c r="C193" s="172"/>
      <c r="H193" s="96"/>
      <c r="I193" s="45"/>
    </row>
    <row r="194" spans="2:9" ht="12.75">
      <c r="B194" s="96"/>
      <c r="C194" s="172"/>
      <c r="H194" s="96"/>
      <c r="I194" s="45"/>
    </row>
    <row r="195" spans="2:9" ht="12.75">
      <c r="B195" s="96"/>
      <c r="C195" s="172"/>
      <c r="H195" s="96"/>
      <c r="I195" s="45"/>
    </row>
    <row r="196" spans="2:9" ht="12.75">
      <c r="B196" s="96"/>
      <c r="C196" s="117"/>
      <c r="H196" s="96"/>
      <c r="I196" s="97"/>
    </row>
    <row r="197" spans="2:9" ht="12.75">
      <c r="B197" s="96"/>
      <c r="C197" s="117"/>
      <c r="H197" s="96"/>
      <c r="I197" s="97"/>
    </row>
    <row r="198" spans="2:9" ht="12.75">
      <c r="B198" s="96"/>
      <c r="C198" s="117"/>
      <c r="H198" s="96"/>
      <c r="I198" s="97"/>
    </row>
    <row r="199" spans="2:9" ht="12.75">
      <c r="B199" s="96"/>
      <c r="C199" s="117"/>
      <c r="H199" s="96"/>
      <c r="I199" s="97"/>
    </row>
    <row r="200" spans="2:9" ht="12.75">
      <c r="B200" s="96"/>
      <c r="C200" s="117"/>
      <c r="E200" s="116"/>
      <c r="H200" s="96"/>
      <c r="I200" s="117"/>
    </row>
    <row r="201" spans="2:3" ht="12.75">
      <c r="B201" s="96"/>
      <c r="C201" s="117"/>
    </row>
    <row r="202" spans="2:3" ht="12.75">
      <c r="B202" s="96"/>
      <c r="C202" s="172"/>
    </row>
    <row r="203" spans="2:3" ht="12.75">
      <c r="B203" s="96"/>
      <c r="C203" s="172"/>
    </row>
    <row r="204" spans="2:3" ht="12.75">
      <c r="B204" s="96"/>
      <c r="C204" s="172"/>
    </row>
    <row r="205" spans="2:4" ht="12.75">
      <c r="B205" s="96"/>
      <c r="C205" s="172"/>
      <c r="D205" s="119"/>
    </row>
    <row r="206" spans="2:3" ht="12.75">
      <c r="B206" s="96"/>
      <c r="C206" s="172"/>
    </row>
    <row r="207" spans="2:10" ht="12.75">
      <c r="B207" s="96"/>
      <c r="C207" s="172"/>
      <c r="D207" s="118"/>
      <c r="H207" s="120"/>
      <c r="I207" s="120"/>
      <c r="J207" s="120"/>
    </row>
    <row r="208" spans="2:10" ht="12.75">
      <c r="B208" s="96"/>
      <c r="C208" s="172"/>
      <c r="D208" s="118"/>
      <c r="H208" s="120"/>
      <c r="I208" s="120"/>
      <c r="J208" s="120"/>
    </row>
    <row r="209" spans="2:3" ht="12.75">
      <c r="B209" s="96"/>
      <c r="C209" s="172"/>
    </row>
  </sheetData>
  <sheetProtection password="C31B" sheet="1"/>
  <mergeCells count="9">
    <mergeCell ref="B108:C108"/>
    <mergeCell ref="E58:F58"/>
    <mergeCell ref="B2:L2"/>
    <mergeCell ref="H58:I58"/>
    <mergeCell ref="K58:L58"/>
    <mergeCell ref="B3:L3"/>
    <mergeCell ref="B4:L4"/>
    <mergeCell ref="B102:L102"/>
    <mergeCell ref="B160:C160"/>
  </mergeCells>
  <hyperlinks>
    <hyperlink ref="K45" r:id="rId1" display="FJC999@AOL.COM"/>
    <hyperlink ref="C43" r:id="rId2" tooltip="http://www.federalretirement.net/" display="http://www.federalretirement.net/"/>
    <hyperlink ref="E157" r:id="rId3" display="http://www.ssa.gov/cola/"/>
    <hyperlink ref="E190" r:id="rId4" display="http://www.ssa.gov/cola/"/>
  </hyperlinks>
  <printOptions horizontalCentered="1"/>
  <pageMargins left="0.25" right="0.25" top="1.5" bottom="0.5" header="0.5" footer="0.5"/>
  <pageSetup horizontalDpi="600" verticalDpi="600" orientation="portrait" r:id="rId5"/>
  <headerFooter alignWithMargins="0">
    <oddHeader>&amp;C&amp;"Arial,Bold"&amp;14PROJECTED CSRS ANNUITY CALCULATOR</oddHeader>
    <oddFooter>&amp;L&amp;8&amp;D (&amp;T)&amp;C&amp;8&amp;P of &amp;N&amp;R&amp;8File: &amp;F</oddFooter>
  </headerFooter>
  <rowBreaks count="2" manualBreakCount="2">
    <brk id="57" max="11" man="1"/>
    <brk id="107" max="11" man="1"/>
  </rowBreaks>
  <ignoredErrors>
    <ignoredError sqref="K67" formula="1"/>
    <ignoredError sqref="E63:E76 E60 E61:E62 E90 E77:E89 E91:E99" unlockedFormula="1"/>
    <ignoredError sqref="I112:I114 I166 I168 I170 I116 I1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J. Cullen</dc:creator>
  <cp:keywords/>
  <dc:description/>
  <cp:lastModifiedBy>Windows User</cp:lastModifiedBy>
  <cp:lastPrinted>2016-10-25T20:31:17Z</cp:lastPrinted>
  <dcterms:created xsi:type="dcterms:W3CDTF">2008-02-05T22:55:06Z</dcterms:created>
  <dcterms:modified xsi:type="dcterms:W3CDTF">2022-08-22T21:59:25Z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